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C:\Users\97874416\Desktop\Informare site MF\2023\"/>
    </mc:Choice>
  </mc:AlternateContent>
  <xr:revisionPtr revIDLastSave="0" documentId="13_ncr:1_{1659B5D1-E7B8-4552-808F-5379554A4AE4}" xr6:coauthVersionLast="36" xr6:coauthVersionMax="36" xr10:uidLastSave="{00000000-0000-0000-0000-000000000000}"/>
  <bookViews>
    <workbookView xWindow="-120" yWindow="-120" windowWidth="23130" windowHeight="9645" tabRatio="512" xr2:uid="{00000000-000D-0000-FFFF-FFFF00000000}"/>
  </bookViews>
  <sheets>
    <sheet name="PAAP_2023" sheetId="1" r:id="rId1"/>
    <sheet name="Proiecte" sheetId="10" state="hidden" r:id="rId2"/>
    <sheet name="Pivot CB" sheetId="5" state="hidden" r:id="rId3"/>
    <sheet name="Pivot CA" sheetId="6" state="hidden" r:id="rId4"/>
    <sheet name="Pivot_Leveling" sheetId="8" state="hidden" r:id="rId5"/>
    <sheet name="Leveling" sheetId="9" state="hidden" r:id="rId6"/>
  </sheets>
  <definedNames>
    <definedName name="_xlcn.WorksheetConnection_2018_07_16_PAAP_electronic_APROBAT_OPC.xlsxCoduri_bugetare" hidden="1">Coduri_bugetare</definedName>
    <definedName name="_xlcn.WorksheetConnection_2018_07_16_PAAP_electronic_APROBAT_OPC.xlsxDisponibil" hidden="1">Disponibil</definedName>
    <definedName name="_xlcn.WorksheetConnection_2018_07_16_PAAP_electronic_APROBAT_OPC.xlsxTabel_A8_AD" hidden="1">Tabel_A1_AD</definedName>
    <definedName name="_xlcn.WorksheetConnection_2018_07_16_PAAP_electronic_APROBAT_OPC.xlsxTabel_A9_Ex_L98" hidden="1">Tabel_A2_Ex_L98</definedName>
    <definedName name="_xlcn.WorksheetConnection_2018_07_16_PAAP_electronic_APROBAT_OPC.xlsxTabel_PAAP2018" hidden="1">Tabel_PAAP2019</definedName>
    <definedName name="_xlcn.WorksheetConnection_2018_11_08_PAAP_electronic_lucru.xlsxInvestitii" hidden="1">Investitii</definedName>
    <definedName name="_xlcn.WorksheetConnection_2019_01_15_PAAP_2019_forma_initiala_electronic_lucru.xlsxResponsabil_achizitie" hidden="1">Responsabil_achizitie</definedName>
    <definedName name="_xlcn.WorksheetConnection_2019_01_15_PAAP_2019_forma_initiala_electronic_lucru.xlsxStatus_lucrare" hidden="1">Status_lucrare</definedName>
    <definedName name="_xlcn.WorksheetConnection_2019_01_15_PAAP_2019_forma_initiala_electronic_lucru.xlsxTipul_Procedurii" hidden="1">Tipul_Procedurii</definedName>
    <definedName name="_xlcn.WorksheetConnection_2019_03_25_PAAP_2019_forma_initiala_electronic_lucru_V14_cu_Proiecte.xlsxTabel_Proiecte" hidden="1">Tabel_Proiecte[]</definedName>
    <definedName name="_xlcn.WorksheetConnection_2020_01_20_PAAP_2020_electronic_lucru_VX.Y.xlsxTrimestrializare" hidden="1">Trimestrializare</definedName>
    <definedName name="art_buget">#REF!</definedName>
    <definedName name="dir_solicitanta">#REF!</definedName>
    <definedName name="_xlnm.Print_Titles" localSheetId="0">PAAP_2023!$5:$5</definedName>
    <definedName name="_xlnm.Print_Titles" localSheetId="1">Proiecte!$8:$8</definedName>
    <definedName name="mod_derulare">#REF!</definedName>
    <definedName name="necesit_AD">#REF!</definedName>
    <definedName name="Proiecte">#REF!</definedName>
    <definedName name="responsabil_achiz">#REF!</definedName>
    <definedName name="status_achiz">#REF!</definedName>
    <definedName name="tip_derulare">#REF!</definedName>
    <definedName name="tip_procedura">#REF!</definedName>
    <definedName name="_xlnm.Print_Area" localSheetId="1">Proiecte!$A$1:$M$65</definedName>
  </definedNames>
  <calcPr calcId="191029"/>
  <pivotCaches>
    <pivotCache cacheId="0" r:id="rId7"/>
    <pivotCache cacheId="1" r:id="rId8"/>
    <pivotCache cacheId="2" r:id="rId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rimestrializare" name="Trimestrializare" connection="WorksheetConnection_2020_01_20_PAAP_2020_electronic_lucru_VX.Y.xlsx!Trimestrializare"/>
          <x15:modelTable id="Tabel_Proiecte" name="Tabel_Proiecte" connection="WorksheetConnection_2019_03_25_PAAP_2019_forma_initiala_electronic_lucru_V14_cu_Proiecte.xlsx!Tabel_Proiecte"/>
          <x15:modelTable id="Tipul_Procedurii" name="Tipul_Procedurii" connection="WorksheetConnection_2019_01_15_PAAP_2019_forma_initiala_electronic_lucru.xlsx!Tipul_Procedurii"/>
          <x15:modelTable id="Status_lucrare" name="Status_lucrare" connection="WorksheetConnection_2019_01_15_PAAP_2019_forma_initiala_electronic_lucru.xlsx!Status_lucrare"/>
          <x15:modelTable id="Responsabil_achizitie" name="Responsabil_achizitie" connection="WorksheetConnection_2019_01_15_PAAP_2019_forma_initiala_electronic_lucru.xlsx!Responsabil_achizitie"/>
          <x15:modelTable id="Investitii" name="Investitii" connection="WorksheetConnection_2018_11_08_PAAP_electronic_lucru.xlsx!Investitii"/>
          <x15:modelTable id="Tabel_PAAP2018" name="Tabel_PAAP2018" connection="WorksheetConnection_2018_07_16_PAAP_electronic_APROBAT_OPC.xlsx!Tabel_PAAP2018"/>
          <x15:modelTable id="Tabel_A9_Ex_L98" name="Tabel_A9_Ex_L98" connection="WorksheetConnection_2018_07_16_PAAP_electronic_APROBAT_OPC.xlsx!Tabel_A9_Ex_L98"/>
          <x15:modelTable id="Tabel_A8_AD" name="Tabel_A8_AD" connection="WorksheetConnection_2018_07_16_PAAP_electronic_APROBAT_OPC.xlsx!Tabel_A8_AD"/>
          <x15:modelTable id="Disponibil" name="Disponibil" connection="WorksheetConnection_2018_07_16_PAAP_electronic_APROBAT_OPC.xlsx!Disponibil"/>
          <x15:modelTable id="Coduri_bugetare" name="Coduri_bugetare" connection="WorksheetConnection_2018_07_16_PAAP_electronic_APROBAT_OPC.xlsx!Coduri_bugetare"/>
        </x15:modelTables>
        <x15:modelRelationships>
          <x15:modelRelationship fromTable="Tabel_PAAP2018" fromColumn="Articol Bugetar" toTable="Coduri_bugetare" toColumn="Cod bugetar"/>
          <x15:modelRelationship fromTable="Tabel_PAAP2018" fromColumn="Pus disponibil" toTable="Disponibil" toColumn="Disponibil"/>
          <x15:modelRelationship fromTable="Tabel_PAAP2018" fromColumn="Trimestru" toTable="Investitii" toColumn="Investitii"/>
          <x15:modelRelationship fromTable="Tabel_PAAP2018" fromColumn="Responsabil" toTable="Responsabil_achizitie" toColumn="Responsabil achizitie"/>
          <x15:modelRelationship fromTable="Tabel_PAAP2018" fromColumn="Tip procedura" toTable="Tipul_Procedurii" toColumn="Procedura"/>
          <x15:modelRelationship fromTable="Tabel_PAAP2018" fromColumn="Stare" toTable="Status_lucrare" toColumn="Status"/>
          <x15:modelRelationship fromTable="Tabel_PAAP2018" fromColumn="Trimestru" toTable="Trimestrializare" toColumn="Trimestrializare"/>
          <x15:modelRelationship fromTable="Tabel_A8_AD" fromColumn="Articol Bugetar" toTable="Coduri_bugetare" toColumn="Cod bugetar"/>
          <x15:modelRelationship fromTable="Tabel_A8_AD" fromColumn="Pus disponibil" toTable="Disponibil" toColumn="Disponibil"/>
          <x15:modelRelationship fromTable="Tabel_A8_AD" fromColumn="Trimestru" toTable="Investitii" toColumn="Investitii"/>
          <x15:modelRelationship fromTable="Tabel_A8_AD" fromColumn="Responsabil" toTable="Responsabil_achizitie" toColumn="Responsabil achizitie"/>
          <x15:modelRelationship fromTable="Tabel_A8_AD" fromColumn="Tip AD" toTable="Tipul_Procedurii" toColumn="Procedura"/>
          <x15:modelRelationship fromTable="Tabel_A8_AD" fromColumn="Stare" toTable="Status_lucrare" toColumn="Status"/>
          <x15:modelRelationship fromTable="Tabel_A8_AD" fromColumn="Trimestru" toTable="Trimestrializare" toColumn="Trimestrializare"/>
          <x15:modelRelationship fromTable="Tabel_A9_Ex_L98" fromColumn="Articol Bugetar" toTable="Coduri_bugetare" toColumn="Cod bugetar"/>
          <x15:modelRelationship fromTable="Tabel_A9_Ex_L98" fromColumn="Pus disponibil" toTable="Disponibil" toColumn="Disponibil"/>
          <x15:modelRelationship fromTable="Tabel_A9_Ex_L98" fromColumn="Trimestru" toTable="Investitii" toColumn="Investitii"/>
          <x15:modelRelationship fromTable="Tabel_A9_Ex_L98" fromColumn="Responsabil" toTable="Responsabil_achizitie" toColumn="Responsabil achizitie"/>
          <x15:modelRelationship fromTable="Tabel_A9_Ex_L98" fromColumn="Tip procedura" toTable="Tipul_Procedurii" toColumn="Procedura"/>
          <x15:modelRelationship fromTable="Tabel_A9_Ex_L98" fromColumn="Stare" toTable="Status_lucrare" toColumn="Status"/>
          <x15:modelRelationship fromTable="Tabel_A9_Ex_L98" fromColumn="Trimestru" toTable="Trimestrializare" toColumn="Trimestrializare"/>
          <x15:modelRelationship fromTable="Tabel_Proiecte" fromColumn="Tip procedura" toTable="Tipul_Procedurii" toColumn="Procedura"/>
          <x15:modelRelationship fromTable="Tabel_Proiecte" fromColumn="Responsabil" toTable="Responsabil_achizitie" toColumn="Responsabil achizitie"/>
          <x15:modelRelationship fromTable="Tabel_Proiecte" fromColumn="Stare" toTable="Status_lucrare" toColumn="Status"/>
        </x15:modelRelationships>
      </x15:dataModel>
    </ext>
  </extLst>
</workbook>
</file>

<file path=xl/calcChain.xml><?xml version="1.0" encoding="utf-8"?>
<calcChain xmlns="http://schemas.openxmlformats.org/spreadsheetml/2006/main">
  <c r="E8" i="1" l="1"/>
  <c r="E9" i="1"/>
  <c r="E10" i="1"/>
  <c r="E11" i="1"/>
  <c r="E12" i="1"/>
  <c r="E13" i="1"/>
  <c r="E14" i="1"/>
  <c r="E15" i="1"/>
  <c r="E16" i="1"/>
  <c r="E17" i="1"/>
  <c r="E18" i="1"/>
  <c r="E19" i="1"/>
  <c r="E20" i="1"/>
  <c r="E21" i="1"/>
  <c r="E22" i="1"/>
  <c r="E23" i="1"/>
  <c r="E6" i="1"/>
  <c r="E7" i="1"/>
  <c r="D11" i="10" l="1"/>
  <c r="D13" i="10"/>
  <c r="D17" i="10"/>
  <c r="E26" i="10"/>
  <c r="F26" i="10"/>
  <c r="D2" i="5"/>
  <c r="L4" i="9" l="1"/>
  <c r="M19" i="9" l="1"/>
  <c r="L22" i="9" l="1"/>
  <c r="E51" i="10" l="1"/>
  <c r="D51" i="10"/>
  <c r="G3" i="9"/>
  <c r="E10" i="9"/>
  <c r="B8" i="9"/>
  <c r="C10" i="9"/>
  <c r="G11" i="9"/>
  <c r="I7" i="9"/>
  <c r="F5" i="9"/>
  <c r="G7" i="9"/>
  <c r="E14" i="9"/>
  <c r="E4" i="9"/>
  <c r="I6" i="9"/>
  <c r="I11" i="9"/>
  <c r="C5" i="9"/>
  <c r="C4" i="9"/>
  <c r="J11" i="9"/>
  <c r="G15" i="9"/>
  <c r="J6" i="9"/>
  <c r="K6" i="9"/>
  <c r="I13" i="9"/>
  <c r="H12" i="9"/>
  <c r="I5" i="9"/>
  <c r="F13" i="9"/>
  <c r="F6" i="9"/>
  <c r="B4" i="9"/>
  <c r="L5" i="9"/>
  <c r="K3" i="9"/>
  <c r="H13" i="9"/>
  <c r="L13" i="9"/>
  <c r="K13" i="9"/>
  <c r="E8" i="9"/>
  <c r="K9" i="9"/>
  <c r="B5" i="9"/>
  <c r="F3" i="9"/>
  <c r="D5" i="9"/>
  <c r="G4" i="9"/>
  <c r="F15" i="9"/>
  <c r="K11" i="9"/>
  <c r="J13" i="9"/>
  <c r="F9" i="9"/>
  <c r="F8" i="9"/>
  <c r="F4" i="9"/>
  <c r="J3" i="9"/>
  <c r="B14" i="9"/>
  <c r="C7" i="9"/>
  <c r="F11" i="9"/>
  <c r="L9" i="9"/>
  <c r="G5" i="9"/>
  <c r="H14" i="9"/>
  <c r="B9" i="9"/>
  <c r="K12" i="9"/>
  <c r="H8" i="9"/>
  <c r="I12" i="9"/>
  <c r="J8" i="9"/>
  <c r="E6" i="9"/>
  <c r="I3" i="9"/>
  <c r="I4" i="9"/>
  <c r="L8" i="9"/>
  <c r="I15" i="9"/>
  <c r="G14" i="9"/>
  <c r="I14" i="9"/>
  <c r="L11" i="9"/>
  <c r="G9" i="9"/>
  <c r="D10" i="9"/>
  <c r="D3" i="9"/>
  <c r="H6" i="9"/>
  <c r="H4" i="9"/>
  <c r="L7" i="9"/>
  <c r="J10" i="9"/>
  <c r="F7" i="9"/>
  <c r="G12" i="9"/>
  <c r="L14" i="9"/>
  <c r="E7" i="9"/>
  <c r="D15" i="9"/>
  <c r="E15" i="9"/>
  <c r="C11" i="9"/>
  <c r="I10" i="9"/>
  <c r="E12" i="9"/>
  <c r="E3" i="9"/>
  <c r="H10" i="9"/>
  <c r="B10" i="9"/>
  <c r="L6" i="9"/>
  <c r="G13" i="9"/>
  <c r="J14" i="9"/>
  <c r="D12" i="9"/>
  <c r="E13" i="9"/>
  <c r="K7" i="9"/>
  <c r="K8" i="9"/>
  <c r="F10" i="9"/>
  <c r="G6" i="9"/>
  <c r="K4" i="9"/>
  <c r="B11" i="9"/>
  <c r="H15" i="9"/>
  <c r="J7" i="9"/>
  <c r="C9" i="9"/>
  <c r="B6" i="9"/>
  <c r="K5" i="9"/>
  <c r="J15" i="9"/>
  <c r="J5" i="9"/>
  <c r="D9" i="9"/>
  <c r="K15" i="9"/>
  <c r="J4" i="9"/>
  <c r="G10" i="9"/>
  <c r="D6" i="9"/>
  <c r="G8" i="9"/>
  <c r="C6" i="9"/>
  <c r="H5" i="9"/>
  <c r="L12" i="9"/>
  <c r="H11" i="9"/>
  <c r="C14" i="9"/>
  <c r="D4" i="9"/>
  <c r="C3" i="9"/>
  <c r="D7" i="9"/>
  <c r="B13" i="9"/>
  <c r="L10" i="9"/>
  <c r="D11" i="9"/>
  <c r="B12" i="9"/>
  <c r="E5" i="9"/>
  <c r="H9" i="9"/>
  <c r="L3" i="9"/>
  <c r="I8" i="9"/>
  <c r="C13" i="9"/>
  <c r="K10" i="9"/>
  <c r="E9" i="9"/>
  <c r="D14" i="9"/>
  <c r="H7" i="9"/>
  <c r="E11" i="9"/>
  <c r="D13" i="9"/>
  <c r="H3" i="9"/>
  <c r="F12" i="9"/>
  <c r="K14" i="9"/>
  <c r="D8" i="9"/>
  <c r="L15" i="9"/>
  <c r="F14" i="9"/>
  <c r="B15" i="9"/>
  <c r="C15" i="9"/>
  <c r="I9" i="9"/>
  <c r="B3" i="9"/>
  <c r="J9" i="9"/>
  <c r="C12" i="9"/>
  <c r="C8" i="9"/>
  <c r="J12" i="9"/>
  <c r="B7" i="9"/>
  <c r="E33" i="9" l="1"/>
  <c r="L21" i="9"/>
  <c r="L16" i="9"/>
  <c r="J32" i="9"/>
  <c r="H32" i="9"/>
  <c r="J25" i="9"/>
  <c r="M5" i="9"/>
  <c r="H31" i="9"/>
  <c r="J24" i="9"/>
  <c r="F30" i="9"/>
  <c r="J28" i="9"/>
  <c r="E26" i="9"/>
  <c r="H22" i="9"/>
  <c r="M12" i="9"/>
  <c r="E21" i="9"/>
  <c r="E16" i="9"/>
  <c r="M7" i="9"/>
  <c r="E28" i="9"/>
  <c r="C27" i="9"/>
  <c r="E22" i="9"/>
  <c r="H24" i="9"/>
  <c r="G16" i="9"/>
  <c r="M13" i="9"/>
  <c r="F32" i="9"/>
  <c r="M9" i="9"/>
  <c r="C23" i="9"/>
  <c r="C33" i="9"/>
  <c r="C28" i="9"/>
  <c r="M4" i="9"/>
  <c r="C26" i="9"/>
  <c r="E32" i="9"/>
  <c r="M15" i="9"/>
  <c r="H30" i="9"/>
  <c r="J27" i="9"/>
  <c r="F23" i="9"/>
  <c r="L32" i="9"/>
  <c r="E23" i="9"/>
  <c r="E24" i="9"/>
  <c r="M6" i="9"/>
  <c r="H27" i="9"/>
  <c r="F26" i="9"/>
  <c r="L29" i="9"/>
  <c r="H29" i="9"/>
  <c r="I26" i="9"/>
  <c r="H21" i="9"/>
  <c r="H16" i="9"/>
  <c r="F22" i="9"/>
  <c r="C22" i="9"/>
  <c r="H28" i="9"/>
  <c r="C29" i="9"/>
  <c r="C24" i="9"/>
  <c r="F25" i="9"/>
  <c r="L31" i="9"/>
  <c r="J30" i="9"/>
  <c r="H23" i="9"/>
  <c r="E27" i="9"/>
  <c r="M11" i="9"/>
  <c r="M10" i="9"/>
  <c r="L30" i="9"/>
  <c r="C30" i="9"/>
  <c r="L25" i="9"/>
  <c r="L33" i="9"/>
  <c r="F29" i="9"/>
  <c r="E29" i="9"/>
  <c r="M14" i="9"/>
  <c r="G26" i="9"/>
  <c r="F24" i="9"/>
  <c r="F21" i="9"/>
  <c r="F16" i="9"/>
  <c r="F31" i="9"/>
  <c r="J29" i="9"/>
  <c r="J21" i="9"/>
  <c r="J16" i="9"/>
  <c r="J26" i="9"/>
  <c r="E30" i="9"/>
  <c r="B26" i="9"/>
  <c r="M8" i="9"/>
  <c r="F27" i="9"/>
  <c r="K16" i="9"/>
  <c r="J33" i="9"/>
  <c r="H26" i="9"/>
  <c r="J23" i="9"/>
  <c r="F28" i="9"/>
  <c r="L28" i="9"/>
  <c r="J22" i="9"/>
  <c r="E25" i="9"/>
  <c r="L26" i="9"/>
  <c r="C16" i="9"/>
  <c r="C21" i="9"/>
  <c r="C25" i="9"/>
  <c r="L24" i="9"/>
  <c r="J31" i="9"/>
  <c r="H33" i="9"/>
  <c r="L27" i="9"/>
  <c r="E31" i="9"/>
  <c r="K26" i="9"/>
  <c r="L23" i="9"/>
  <c r="D16" i="9"/>
  <c r="C32" i="9"/>
  <c r="H25" i="9"/>
  <c r="C31" i="9"/>
  <c r="I16" i="9"/>
  <c r="M3" i="9"/>
  <c r="B16" i="9"/>
  <c r="F33" i="9"/>
  <c r="D26" i="9"/>
  <c r="C34" i="9" l="1"/>
  <c r="M26" i="9"/>
  <c r="H34" i="9"/>
  <c r="E34" i="9"/>
  <c r="F34" i="9"/>
  <c r="L34" i="9"/>
  <c r="M16" i="9"/>
  <c r="J34" i="9"/>
  <c r="B23" i="9"/>
  <c r="B22" i="9"/>
  <c r="D21" i="9"/>
  <c r="B24" i="9"/>
  <c r="B21" i="9"/>
  <c r="G24" i="9" l="1"/>
  <c r="I28" i="9"/>
  <c r="K33" i="9"/>
  <c r="D30" i="9"/>
  <c r="D29" i="9"/>
  <c r="B29" i="9"/>
  <c r="B27" i="9"/>
  <c r="G32" i="9"/>
  <c r="G30" i="9"/>
  <c r="I23" i="9"/>
  <c r="K21" i="9"/>
  <c r="D22" i="9"/>
  <c r="I25" i="9"/>
  <c r="G28" i="9"/>
  <c r="K22" i="9"/>
  <c r="K25" i="9"/>
  <c r="K24" i="9"/>
  <c r="D25" i="9"/>
  <c r="K28" i="9"/>
  <c r="K30" i="9"/>
  <c r="B25" i="9"/>
  <c r="D27" i="9"/>
  <c r="G31" i="9"/>
  <c r="I22" i="9"/>
  <c r="B31" i="9"/>
  <c r="G21" i="9"/>
  <c r="K32" i="9"/>
  <c r="G25" i="9"/>
  <c r="D28" i="9"/>
  <c r="G22" i="9"/>
  <c r="I33" i="9"/>
  <c r="B32" i="9"/>
  <c r="I31" i="9"/>
  <c r="I21" i="9"/>
  <c r="I27" i="9"/>
  <c r="K27" i="9"/>
  <c r="D32" i="9"/>
  <c r="D23" i="9"/>
  <c r="B30" i="9"/>
  <c r="I29" i="9"/>
  <c r="G27" i="9"/>
  <c r="B33" i="9"/>
  <c r="B28" i="9"/>
  <c r="I30" i="9"/>
  <c r="G33" i="9"/>
  <c r="K23" i="9"/>
  <c r="D33" i="9"/>
  <c r="K29" i="9"/>
  <c r="I32" i="9"/>
  <c r="D31" i="9"/>
  <c r="K31" i="9"/>
  <c r="I24" i="9"/>
  <c r="G23" i="9"/>
  <c r="G29" i="9"/>
  <c r="D24" i="9"/>
  <c r="M24" i="9" l="1"/>
  <c r="M28" i="9"/>
  <c r="M23" i="9"/>
  <c r="M32" i="9"/>
  <c r="M21" i="9"/>
  <c r="M22" i="9"/>
  <c r="M27" i="9"/>
  <c r="M30" i="9"/>
  <c r="M29" i="9"/>
  <c r="M33" i="9"/>
  <c r="M31" i="9"/>
  <c r="M25" i="9"/>
  <c r="B34" i="9"/>
  <c r="I34" i="9"/>
  <c r="G34" i="9"/>
  <c r="K34" i="9"/>
  <c r="D34" i="9"/>
  <c r="M34" i="9" l="1"/>
  <c r="D3"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2018_07_16_PAAP_electronic_APROBAT_OPC.xlsx!Coduri_bugetare" type="102" refreshedVersion="6" minRefreshableVersion="5">
    <extLst>
      <ext xmlns:x15="http://schemas.microsoft.com/office/spreadsheetml/2010/11/main" uri="{DE250136-89BD-433C-8126-D09CA5730AF9}">
        <x15:connection id="Coduri_bugetare">
          <x15:rangePr sourceName="_xlcn.WorksheetConnection_2018_07_16_PAAP_electronic_APROBAT_OPC.xlsxCoduri_bugetare"/>
        </x15:connection>
      </ext>
    </extLst>
  </connection>
  <connection id="3" xr16:uid="{00000000-0015-0000-FFFF-FFFF02000000}" name="WorksheetConnection_2018_07_16_PAAP_electronic_APROBAT_OPC.xlsx!Disponibil" type="102" refreshedVersion="6" minRefreshableVersion="5">
    <extLst>
      <ext xmlns:x15="http://schemas.microsoft.com/office/spreadsheetml/2010/11/main" uri="{DE250136-89BD-433C-8126-D09CA5730AF9}">
        <x15:connection id="Disponibil">
          <x15:rangePr sourceName="_xlcn.WorksheetConnection_2018_07_16_PAAP_electronic_APROBAT_OPC.xlsxDisponibil"/>
        </x15:connection>
      </ext>
    </extLst>
  </connection>
  <connection id="4" xr16:uid="{00000000-0015-0000-FFFF-FFFF03000000}" name="WorksheetConnection_2018_07_16_PAAP_electronic_APROBAT_OPC.xlsx!Tabel_A8_AD" type="102" refreshedVersion="6" minRefreshableVersion="5">
    <extLst>
      <ext xmlns:x15="http://schemas.microsoft.com/office/spreadsheetml/2010/11/main" uri="{DE250136-89BD-433C-8126-D09CA5730AF9}">
        <x15:connection id="Tabel_A8_AD">
          <x15:rangePr sourceName="_xlcn.WorksheetConnection_2018_07_16_PAAP_electronic_APROBAT_OPC.xlsxTabel_A8_AD"/>
        </x15:connection>
      </ext>
    </extLst>
  </connection>
  <connection id="5" xr16:uid="{00000000-0015-0000-FFFF-FFFF04000000}" name="WorksheetConnection_2018_07_16_PAAP_electronic_APROBAT_OPC.xlsx!Tabel_A9_Ex_L98" type="102" refreshedVersion="6" minRefreshableVersion="5">
    <extLst>
      <ext xmlns:x15="http://schemas.microsoft.com/office/spreadsheetml/2010/11/main" uri="{DE250136-89BD-433C-8126-D09CA5730AF9}">
        <x15:connection id="Tabel_A9_Ex_L98">
          <x15:rangePr sourceName="_xlcn.WorksheetConnection_2018_07_16_PAAP_electronic_APROBAT_OPC.xlsxTabel_A9_Ex_L98"/>
        </x15:connection>
      </ext>
    </extLst>
  </connection>
  <connection id="6" xr16:uid="{00000000-0015-0000-FFFF-FFFF05000000}" name="WorksheetConnection_2018_07_16_PAAP_electronic_APROBAT_OPC.xlsx!Tabel_PAAP2018" type="102" refreshedVersion="6" minRefreshableVersion="5">
    <extLst>
      <ext xmlns:x15="http://schemas.microsoft.com/office/spreadsheetml/2010/11/main" uri="{DE250136-89BD-433C-8126-D09CA5730AF9}">
        <x15:connection id="Tabel_PAAP2018" autoDelete="1">
          <x15:rangePr sourceName="_xlcn.WorksheetConnection_2018_07_16_PAAP_electronic_APROBAT_OPC.xlsxTabel_PAAP2018"/>
        </x15:connection>
      </ext>
    </extLst>
  </connection>
  <connection id="7" xr16:uid="{00000000-0015-0000-FFFF-FFFF06000000}" name="WorksheetConnection_2018_11_08_PAAP_electronic_lucru.xlsx!Investitii" type="102" refreshedVersion="6" minRefreshableVersion="5">
    <extLst>
      <ext xmlns:x15="http://schemas.microsoft.com/office/spreadsheetml/2010/11/main" uri="{DE250136-89BD-433C-8126-D09CA5730AF9}">
        <x15:connection id="Investitii">
          <x15:rangePr sourceName="_xlcn.WorksheetConnection_2018_11_08_PAAP_electronic_lucru.xlsxInvestitii"/>
        </x15:connection>
      </ext>
    </extLst>
  </connection>
  <connection id="8" xr16:uid="{00000000-0015-0000-FFFF-FFFF07000000}" name="WorksheetConnection_2019_01_15_PAAP_2019_forma_initiala_electronic_lucru.xlsx!Responsabil_achizitie" type="102" refreshedVersion="6" minRefreshableVersion="5">
    <extLst>
      <ext xmlns:x15="http://schemas.microsoft.com/office/spreadsheetml/2010/11/main" uri="{DE250136-89BD-433C-8126-D09CA5730AF9}">
        <x15:connection id="Responsabil_achizitie">
          <x15:rangePr sourceName="_xlcn.WorksheetConnection_2019_01_15_PAAP_2019_forma_initiala_electronic_lucru.xlsxResponsabil_achizitie"/>
        </x15:connection>
      </ext>
    </extLst>
  </connection>
  <connection id="9" xr16:uid="{00000000-0015-0000-FFFF-FFFF08000000}" name="WorksheetConnection_2019_01_15_PAAP_2019_forma_initiala_electronic_lucru.xlsx!Status_lucrare" type="102" refreshedVersion="6" minRefreshableVersion="5">
    <extLst>
      <ext xmlns:x15="http://schemas.microsoft.com/office/spreadsheetml/2010/11/main" uri="{DE250136-89BD-433C-8126-D09CA5730AF9}">
        <x15:connection id="Status_lucrare">
          <x15:rangePr sourceName="_xlcn.WorksheetConnection_2019_01_15_PAAP_2019_forma_initiala_electronic_lucru.xlsxStatus_lucrare"/>
        </x15:connection>
      </ext>
    </extLst>
  </connection>
  <connection id="10" xr16:uid="{00000000-0015-0000-FFFF-FFFF09000000}" name="WorksheetConnection_2019_01_15_PAAP_2019_forma_initiala_electronic_lucru.xlsx!Tipul_Procedurii" type="102" refreshedVersion="6" minRefreshableVersion="5">
    <extLst>
      <ext xmlns:x15="http://schemas.microsoft.com/office/spreadsheetml/2010/11/main" uri="{DE250136-89BD-433C-8126-D09CA5730AF9}">
        <x15:connection id="Tipul_Procedurii">
          <x15:rangePr sourceName="_xlcn.WorksheetConnection_2019_01_15_PAAP_2019_forma_initiala_electronic_lucru.xlsxTipul_Procedurii"/>
        </x15:connection>
      </ext>
    </extLst>
  </connection>
  <connection id="11" xr16:uid="{00000000-0015-0000-FFFF-FFFF0A000000}" name="WorksheetConnection_2019_03_25_PAAP_2019_forma_initiala_electronic_lucru_V14_cu_Proiecte.xlsx!Tabel_Proiecte" type="102" refreshedVersion="6" minRefreshableVersion="5">
    <extLst>
      <ext xmlns:x15="http://schemas.microsoft.com/office/spreadsheetml/2010/11/main" uri="{DE250136-89BD-433C-8126-D09CA5730AF9}">
        <x15:connection id="Tabel_Proiecte">
          <x15:rangePr sourceName="_xlcn.WorksheetConnection_2019_03_25_PAAP_2019_forma_initiala_electronic_lucru_V14_cu_Proiecte.xlsxTabel_Proiecte"/>
        </x15:connection>
      </ext>
    </extLst>
  </connection>
  <connection id="12" xr16:uid="{00000000-0015-0000-FFFF-FFFF0B000000}" name="WorksheetConnection_2020_01_20_PAAP_2020_electronic_lucru_VX.Y.xlsx!Trimestrializare" type="102" refreshedVersion="6" minRefreshableVersion="5">
    <extLst>
      <ext xmlns:x15="http://schemas.microsoft.com/office/spreadsheetml/2010/11/main" uri="{DE250136-89BD-433C-8126-D09CA5730AF9}">
        <x15:connection id="Trimestrializare">
          <x15:rangePr sourceName="_xlcn.WorksheetConnection_2020_01_20_PAAP_2020_electronic_lucru_VX.Y.xlsxTrimestrializare"/>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ThisWorkbookDataModel"/>
    <s v="{[Investitii].[Investitii].[All]}"/>
    <s v="{[Disponibil].[Disponibil].&amp;,[Disponibil].[Disponibil].&amp;[NU]}"/>
    <s v="{[Status_lucrare].[Status].&amp;[În plan]}"/>
    <s v="{[Disponibil].[Disponibil].[All]}"/>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<sst xmlns="http://schemas.openxmlformats.org/spreadsheetml/2006/main" count="686" uniqueCount="305">
  <si>
    <t>Nr. crt.</t>
  </si>
  <si>
    <t>Obiectul contractului</t>
  </si>
  <si>
    <t>CPV Principal</t>
  </si>
  <si>
    <t>Valoare estimata 
- lei fără TVA -</t>
  </si>
  <si>
    <t>Data inceperii</t>
  </si>
  <si>
    <t>Data finalizarii</t>
  </si>
  <si>
    <t>Tip procedura</t>
  </si>
  <si>
    <t>Responsabil</t>
  </si>
  <si>
    <t>Stare</t>
  </si>
  <si>
    <t>Observații</t>
  </si>
  <si>
    <t>Lista de investitii</t>
  </si>
  <si>
    <t>Pus disponibil</t>
  </si>
  <si>
    <t>Articol Bugetar</t>
  </si>
  <si>
    <t>Licitatie deschisa</t>
  </si>
  <si>
    <t>BACNEANU Virginia</t>
  </si>
  <si>
    <t>DA</t>
  </si>
  <si>
    <t>71.01.02</t>
  </si>
  <si>
    <t>71.01.30</t>
  </si>
  <si>
    <t>20.01.01</t>
  </si>
  <si>
    <t xml:space="preserve">Procedura simplificata </t>
  </si>
  <si>
    <t>HORIA Alina</t>
  </si>
  <si>
    <t>CRETU Anca</t>
  </si>
  <si>
    <t>NU</t>
  </si>
  <si>
    <t>20.01.30</t>
  </si>
  <si>
    <t>CIMPEANU Carmen</t>
  </si>
  <si>
    <t>20.30.30</t>
  </si>
  <si>
    <t>20.12</t>
  </si>
  <si>
    <t>GHEORGHE Mirela</t>
  </si>
  <si>
    <t>20.01.03</t>
  </si>
  <si>
    <t>20.01.02</t>
  </si>
  <si>
    <t>ZLOTEA Liliana</t>
  </si>
  <si>
    <t>71.01.03</t>
  </si>
  <si>
    <t>20.01.09</t>
  </si>
  <si>
    <t>Negociere fara publicare prealabila</t>
  </si>
  <si>
    <t>20.01.04</t>
  </si>
  <si>
    <t>SAMOILA Maria</t>
  </si>
  <si>
    <t>TEODORESCU Margareta</t>
  </si>
  <si>
    <t>20.13</t>
  </si>
  <si>
    <t>20.05.30</t>
  </si>
  <si>
    <t>20.30.03</t>
  </si>
  <si>
    <t>20.30.02</t>
  </si>
  <si>
    <t>Atribuita</t>
  </si>
  <si>
    <t>20.30.04</t>
  </si>
  <si>
    <t>Procedura proprie</t>
  </si>
  <si>
    <t>Licitatie restransa</t>
  </si>
  <si>
    <t>20.04.02</t>
  </si>
  <si>
    <t>DIRECȚIA GENERALĂ ECONOMICĂ</t>
  </si>
  <si>
    <t>Simion ILIE</t>
  </si>
  <si>
    <t>Intocmit,</t>
  </si>
  <si>
    <t>Virginia BACNEANU</t>
  </si>
  <si>
    <t>APROB,</t>
  </si>
  <si>
    <t>CONDUCĂTORUL AUTORITĂȚII CONTRACTANTE</t>
  </si>
  <si>
    <t>Claudia Florina PRISECARU</t>
  </si>
  <si>
    <t>Grand Total</t>
  </si>
  <si>
    <t>Cod bugetar</t>
  </si>
  <si>
    <t>Total</t>
  </si>
  <si>
    <t>Disponibil</t>
  </si>
  <si>
    <t>20.01.05</t>
  </si>
  <si>
    <t>DIRECȚIA GENERALĂ SERVICII INTERNE ȘI ACHIZIȚII PUBLICE</t>
  </si>
  <si>
    <t>NEGREA Andrei</t>
  </si>
  <si>
    <t>ALEXANDRU Anisia</t>
  </si>
  <si>
    <t>Director General Adjunct</t>
  </si>
  <si>
    <t>On-line</t>
  </si>
  <si>
    <t>Off-line</t>
  </si>
  <si>
    <t>Modalitate derulare</t>
  </si>
  <si>
    <t>BUZICA Cristian</t>
  </si>
  <si>
    <t>Șef serviciu,</t>
  </si>
  <si>
    <t>Referent superior,</t>
  </si>
  <si>
    <t>Cristina DUMITRICĂ</t>
  </si>
  <si>
    <t>Investitii</t>
  </si>
  <si>
    <t>Exceptie art. 30 L98/2016</t>
  </si>
  <si>
    <t>79132100-9</t>
  </si>
  <si>
    <t>OANĂ Elena</t>
  </si>
  <si>
    <t>30213000-5</t>
  </si>
  <si>
    <t>Row Labels</t>
  </si>
  <si>
    <t>All</t>
  </si>
  <si>
    <t>Sum of Valoare estimata  - lei fără TVA -</t>
  </si>
  <si>
    <t>Valoare totală cu TVA</t>
  </si>
  <si>
    <t>OLTEANU Felicia</t>
  </si>
  <si>
    <t>AD simpla</t>
  </si>
  <si>
    <t>AD complexa</t>
  </si>
  <si>
    <t>Procedura simplificata</t>
  </si>
  <si>
    <t>Column Labels</t>
  </si>
  <si>
    <t>Total Count of Tip procedura</t>
  </si>
  <si>
    <t>Count of Tip procedura</t>
  </si>
  <si>
    <t>Total Count of Tip AD</t>
  </si>
  <si>
    <t>Count of Tip AD</t>
  </si>
  <si>
    <t>Status</t>
  </si>
  <si>
    <t>AD Complexa</t>
  </si>
  <si>
    <t>Total lucrari</t>
  </si>
  <si>
    <t>Total zile om</t>
  </si>
  <si>
    <t>Responsabil
achizitie</t>
  </si>
  <si>
    <t>TOTAL</t>
  </si>
  <si>
    <t>Prioritate</t>
  </si>
  <si>
    <t>Departament solicitant</t>
  </si>
  <si>
    <t>Q1</t>
  </si>
  <si>
    <t>Q2</t>
  </si>
  <si>
    <t>Q3</t>
  </si>
  <si>
    <t>CNIF</t>
  </si>
  <si>
    <t>DGSIAP</t>
  </si>
  <si>
    <t>În lucru</t>
  </si>
  <si>
    <t>În plan</t>
  </si>
  <si>
    <t>Anunț publicat</t>
  </si>
  <si>
    <t>În evaluare</t>
  </si>
  <si>
    <t>Finalizată</t>
  </si>
  <si>
    <t>(Multiple Items)</t>
  </si>
  <si>
    <t>Valoare atribuita</t>
  </si>
  <si>
    <t xml:space="preserve">Director General </t>
  </si>
  <si>
    <t>Carmen-Georgiana BIDAȘCU</t>
  </si>
  <si>
    <t>Ventura DUMITRESCU</t>
  </si>
  <si>
    <t>PROGRAMUL ACHIZIȚIILOR PUBLICE PE PROIECTE</t>
  </si>
  <si>
    <t>din fonduri nerambursabile</t>
  </si>
  <si>
    <t>Proiect</t>
  </si>
  <si>
    <t>Proiect ACP 4 POAD</t>
  </si>
  <si>
    <t>Proiect EDMS</t>
  </si>
  <si>
    <t>Program Elvetiano-RO</t>
  </si>
  <si>
    <t>SIPOCA 8</t>
  </si>
  <si>
    <t>SIPOCA 449</t>
  </si>
  <si>
    <t>Consultanta în domeniul achiziţiilor publice, audit, FIDIC şi evaluare pentru perioada de programare 2014-2020</t>
  </si>
  <si>
    <t>79418000-7</t>
  </si>
  <si>
    <t>Consumabile de birotica/papetarie și consumabile IT</t>
  </si>
  <si>
    <t>22819000-4</t>
  </si>
  <si>
    <t>Kituri semnătură electronică și reînnoire certificate digitale</t>
  </si>
  <si>
    <t>Plase de țânțari și echipamente de bucatarie</t>
  </si>
  <si>
    <t>39525500-3</t>
  </si>
  <si>
    <t>Închiriere purificatoare apă</t>
  </si>
  <si>
    <t>51514110-2</t>
  </si>
  <si>
    <t>38652120-7</t>
  </si>
  <si>
    <t xml:space="preserve">Consultanță în vederea dezvoltării capacității ACP pentru gestionarea eficientă a FESI </t>
  </si>
  <si>
    <t>79414000-9</t>
  </si>
  <si>
    <t>Proiect ACP 1 Sprijinire</t>
  </si>
  <si>
    <t>Proiect ACP 3 SEE</t>
  </si>
  <si>
    <t>Servicii catering</t>
  </si>
  <si>
    <t>55520000-1</t>
  </si>
  <si>
    <t>Servicii organizare evenimente (2 Loturi)</t>
  </si>
  <si>
    <t>79952000-2</t>
  </si>
  <si>
    <t>Servicii consultanță - experți pentru misiunile de verificări la fața locului</t>
  </si>
  <si>
    <t>72224000-1</t>
  </si>
  <si>
    <t>Furnizare echipamente IT, consumabile conexe și periferice IT, software și consumabile birotică și papetarie</t>
  </si>
  <si>
    <t>Acord cadru
Lot 1 - organizare vizite de studiu în afara țării (aprox.322,639 lei fără TVA)
Lot 2 - organizare evenimente în țară (aprox. 518,605 lei fără TVA).
Nu s-a transmis RN si CS</t>
  </si>
  <si>
    <t>48311000-1</t>
  </si>
  <si>
    <t>Echipamente și licente software pentru imbunatatirea sist.electronic de management al documentelor SIDOC (EDMS) -achiz 1 - lot 1 si 2</t>
  </si>
  <si>
    <t>Echipamente și licente software pentru imbunatatirea sist.electronic de management al documentelor SIDOC (EDMS) -achiz 2 - lot 3</t>
  </si>
  <si>
    <t xml:space="preserve">Servicii de audit extern </t>
  </si>
  <si>
    <t>79212000-3</t>
  </si>
  <si>
    <t>Tonere</t>
  </si>
  <si>
    <t>30125100-2</t>
  </si>
  <si>
    <t>Organizare conferință închidere proiect</t>
  </si>
  <si>
    <t xml:space="preserve">Servicii de consultanță pentru analiză privind activitatea consilierul de etică și avertizarea în interes public / de integritate și protecția avertizorului și elaborarea de mecanisme și/sau instrumente pentru maximizarea impactului consilierii etice și avertizării în interes public </t>
  </si>
  <si>
    <t>79420000-4</t>
  </si>
  <si>
    <r>
      <t xml:space="preserve">Echipamente FEDR  </t>
    </r>
    <r>
      <rPr>
        <sz val="12"/>
        <rFont val="Arial"/>
        <family val="2"/>
        <charset val="238"/>
      </rPr>
      <t>(IT pentru echipa de management și echipa de implementare): Laptop (12 buc.); Imprimată portabilă (2 buc.); Multfuncțională (2 buc.); Hard extern (1 buc=250 lei); Videoproiector (2 buc.); Distrugător (1 buc.); Flipchart (1 buc.).</t>
    </r>
  </si>
  <si>
    <t>30200000-1</t>
  </si>
  <si>
    <t>Kit promoțional pentru participanți (3620 buc.)</t>
  </si>
  <si>
    <t>79342200-5</t>
  </si>
  <si>
    <t>Servicii de organizare evenimente (conferința de deschidere proiect)</t>
  </si>
  <si>
    <t>79951000-5</t>
  </si>
  <si>
    <t>Servicii organizare evenimente (catering și închiriere sală) pentru derularea caravanelor</t>
  </si>
  <si>
    <t>Publicare anunțuri /comunicate de presă</t>
  </si>
  <si>
    <t>79341000-6</t>
  </si>
  <si>
    <t xml:space="preserve">Formare profesională </t>
  </si>
  <si>
    <t>55130000-0  80530000-8</t>
  </si>
  <si>
    <t>Materiale consumabile (papetărie și birotică) MFP</t>
  </si>
  <si>
    <t>30192700-8</t>
  </si>
  <si>
    <t>Achiziție autoturism (mijloc de transport) cu 5 locuri MFP</t>
  </si>
  <si>
    <t>34110000-1</t>
  </si>
  <si>
    <t>Combustibil auto</t>
  </si>
  <si>
    <t>09130000-9</t>
  </si>
  <si>
    <t>Servicii de audit financiar</t>
  </si>
  <si>
    <t>79212100-4</t>
  </si>
  <si>
    <t>Revizie periodică a autoturismului achiziționat</t>
  </si>
  <si>
    <t>50112200-5</t>
  </si>
  <si>
    <t xml:space="preserve">Servicii de asigurare contra accidentelor CASCO pentru autoturismul achiziționat </t>
  </si>
  <si>
    <t>66512100-3</t>
  </si>
  <si>
    <t xml:space="preserve">Servicii de asigurare de răspundere civilă obligatorie RCA contra pentru autoturismul achiziționat </t>
  </si>
  <si>
    <t>66516100-1</t>
  </si>
  <si>
    <t>Furnizare echipamente si software IT</t>
  </si>
  <si>
    <t>30213100-6</t>
  </si>
  <si>
    <t>Servicii organizare evenimente</t>
  </si>
  <si>
    <t>Materiale consumabile</t>
  </si>
  <si>
    <t>30199000-0</t>
  </si>
  <si>
    <t>AD Complexa PR</t>
  </si>
  <si>
    <t>AD simpla PR</t>
  </si>
  <si>
    <t>Exceptii L98</t>
  </si>
  <si>
    <t>Procedura proprie PR</t>
  </si>
  <si>
    <t>Procedura simplificata PR</t>
  </si>
  <si>
    <t>Licitatie deschisa PR</t>
  </si>
  <si>
    <t>19337,5</t>
  </si>
  <si>
    <t>A fost introdus inlocuitorul deoarece Carmen C este in CO</t>
  </si>
  <si>
    <t>Necesar reprogramare. Nu s-a semnat încă AA la CF</t>
  </si>
  <si>
    <t>Necesar reprogramare. Nu s-a primit CS</t>
  </si>
  <si>
    <t>Se va elimina</t>
  </si>
  <si>
    <t xml:space="preserve">Servicii organizare evenimente </t>
  </si>
  <si>
    <t>Servicii consultanță (audit)</t>
  </si>
  <si>
    <t>Consumabile (tonere, cilindri, piese de schimb)</t>
  </si>
  <si>
    <t>34913000-0</t>
  </si>
  <si>
    <t>Produse IT (multifuncțională color)</t>
  </si>
  <si>
    <t>30232110-8</t>
  </si>
  <si>
    <t>Lipsă caiet de sarcini/specificatii tehnice</t>
  </si>
  <si>
    <t>Multifunctionale si videoproiector</t>
  </si>
  <si>
    <t>Piese de schimb şi reţelistică / periferice</t>
  </si>
  <si>
    <t>Servicii de inchiriere autoturism cu conducator auto</t>
  </si>
  <si>
    <t>60171000-7</t>
  </si>
  <si>
    <t>Achiziția ce are ca obiect "Realizarea unui sistem de management al documentelor din ACP incluzând servicii de dezvoltare și adaptare a aplicației informatice și soft comparare documente" a fost anulat conform AA3 la contractul de finantare. Achizitia de "servicii de inchiriere autoturism cu conducator auto" este o pozitie nou introdusa urmare a semnarii AA3 la contractul de finantare.</t>
  </si>
  <si>
    <t>Proiect ACP 5 SMIS 128054</t>
  </si>
  <si>
    <t>BACNEANU Elena</t>
  </si>
  <si>
    <t>Servicii de organizare evenimente (seminarii pentru schimb de experienta si bune practici/vizite de studiu)</t>
  </si>
  <si>
    <t>Proiect ACP5</t>
  </si>
  <si>
    <t>Contract in derulare la ACP.</t>
  </si>
  <si>
    <t>Lipsa oferte</t>
  </si>
  <si>
    <t>Sum of Valoarea estimată  pentru 2020 lei fără TVA</t>
  </si>
  <si>
    <t>Sum of Valoarea estimată  pentru 2020 lei fără TVA2</t>
  </si>
  <si>
    <t>Trimestru</t>
  </si>
  <si>
    <t>Trim I</t>
  </si>
  <si>
    <t>Trim II</t>
  </si>
  <si>
    <t>Trim III</t>
  </si>
  <si>
    <t>Trim IV</t>
  </si>
  <si>
    <t>Total Sum of Valoarea estimată  pentru 2020 lei fără TVA</t>
  </si>
  <si>
    <t>Total Sum of Valoarea estimată  pentru 2020 lei fără TVA2</t>
  </si>
  <si>
    <t>De verificat daca e pe 2 loturi</t>
  </si>
  <si>
    <t>Procent VA/VEA</t>
  </si>
  <si>
    <t>(blank)</t>
  </si>
  <si>
    <t>NECESAR CREDITE BUGETARE 2021</t>
  </si>
  <si>
    <t>NECESAR CREDITE ANGAJAMENT 2021</t>
  </si>
  <si>
    <t xml:space="preserve">Valoarea estimată  pentru 2021 lei fără TVA </t>
  </si>
  <si>
    <t>Tip ctr</t>
  </si>
  <si>
    <t>AC</t>
  </si>
  <si>
    <t>Program multianual 1950</t>
  </si>
  <si>
    <t>CAP</t>
  </si>
  <si>
    <t>Valoare estimată 
- lei fără TVA -</t>
  </si>
  <si>
    <t>Procedura simplificată</t>
  </si>
  <si>
    <t>ON line</t>
  </si>
  <si>
    <t>Licitație deschisă</t>
  </si>
  <si>
    <t>09123000-7</t>
  </si>
  <si>
    <t>72212422-3</t>
  </si>
  <si>
    <t>2023_PAAP_002</t>
  </si>
  <si>
    <t>2023_PAAP_003</t>
  </si>
  <si>
    <t>2023_PAAP_004</t>
  </si>
  <si>
    <t>2023_PAAP_006</t>
  </si>
  <si>
    <t>Servicii de dezvoltare SW pentru proiectare, dezvoltare, testare și implementare a CESOP și SME</t>
  </si>
  <si>
    <t>Furnizare gaze naturale</t>
  </si>
  <si>
    <t>Servicii de mentenanță pentru sistemul național de raportare Forexebug</t>
  </si>
  <si>
    <t>72600000-6</t>
  </si>
  <si>
    <t>72267000-4</t>
  </si>
  <si>
    <t>Servicii de întreținere, reparații și asigurare responsabil cu supravegherea și verificarea tehnică a instalațiilor pentru ascensoarele amplasate în sediile MF</t>
  </si>
  <si>
    <t>50750000-7</t>
  </si>
  <si>
    <t>Servicii de mentenanță a sistemelor informatice de interoperabilitate în domeniul fiscal</t>
  </si>
  <si>
    <t>72262000-9</t>
  </si>
  <si>
    <t>2023_PAAP_005</t>
  </si>
  <si>
    <t>Valoare planificată cu TVA - 2023</t>
  </si>
  <si>
    <t>2023_PAAP_007</t>
  </si>
  <si>
    <t>Servicii de creație grafică, materiale de promovare a activității Ministerului Finanțelor și servicii de promovare pe conturile de social media</t>
  </si>
  <si>
    <t>79822500-7</t>
  </si>
  <si>
    <t xml:space="preserve">PROGRAMUL ANUAL AL ACHIZIȚIILOR PUBLICE AL MINISTERULUI FINANȚELOR - APARAT CENTRAL - PENTRU ANUL 2023 </t>
  </si>
  <si>
    <t>2023_PAAP_008</t>
  </si>
  <si>
    <t>Mochetă cu montaj și lucrări conexe de reparații pardoseli și turnare șapă autonivelantă</t>
  </si>
  <si>
    <t>39530000-6</t>
  </si>
  <si>
    <t>Achiziție finalizată</t>
  </si>
  <si>
    <t>Achiziție anulată</t>
  </si>
  <si>
    <t>2023_PAAP_001</t>
  </si>
  <si>
    <t>2023_PAAP_009</t>
  </si>
  <si>
    <t>Platformă de securitate pentru protecția stațiilor de lucru care accesează serviciile WEB din rețelele externe Sistemului Informatic MF și protecția serviciilor de poștă electronică utilizate intern și extern SI MF</t>
  </si>
  <si>
    <t>30211300-4</t>
  </si>
  <si>
    <t>2023_PAAP_010</t>
  </si>
  <si>
    <t>Consumabile tehnică de calcul pentru echipamentele TIC din cadrul MF</t>
  </si>
  <si>
    <t>2023_PAAP_011</t>
  </si>
  <si>
    <t>Furnizare energie electrică pentru sediile Ministerului Finanțelor din b-dul Libertății, nr. 16, b-dul Mircea Vodă, nr. 44, str. Poenaru Bordea și din comuna Balotești, sat Săftica, Jud. Ilfov</t>
  </si>
  <si>
    <t>09310000-5</t>
  </si>
  <si>
    <t>2023_PAAP_012</t>
  </si>
  <si>
    <t>Servicii de mentenanta (intretinere si reparatii sistem de incalzire, sisteme de curenti tari, sistem de alimentare cu apa si lucrari de mica complexitate) pentru sediul CNIF din Poenaru Bordea și sediul din Mircea Vodă</t>
  </si>
  <si>
    <t>98341130-5</t>
  </si>
  <si>
    <t xml:space="preserve">Achiziție finalizată </t>
  </si>
  <si>
    <r>
      <t xml:space="preserve">Contracte / Acorduri-cadru pentru care se vor aplica proceduri de atribuire 
ce se vor iniția în cursul anului, cu plata </t>
    </r>
    <r>
      <rPr>
        <b/>
        <u/>
        <sz val="28"/>
        <rFont val="Trebuchet MS"/>
        <family val="2"/>
      </rPr>
      <t>din fonduri bugetare</t>
    </r>
    <r>
      <rPr>
        <b/>
        <sz val="28"/>
        <rFont val="Trebuchet MS"/>
        <family val="2"/>
      </rPr>
      <t xml:space="preserve">
</t>
    </r>
  </si>
  <si>
    <t>Servicii de consultanță pt realizarea analizei generale a stării de fapt a sistemului informatic actual și definirea cerințelor aferente dezvoltării portalului MF</t>
  </si>
  <si>
    <t>2023_PAAP_013</t>
  </si>
  <si>
    <t>Servicii de acceptare a plăților de impozite, taxe, contribuții și alte sume cuvenite bugetului general consolidat, efectuate cu carduri de plată în sistem on line prin intermediul SNEP</t>
  </si>
  <si>
    <t>66172000-6</t>
  </si>
  <si>
    <t>2023_PAAP_014</t>
  </si>
  <si>
    <t>2023_PAAP_015</t>
  </si>
  <si>
    <t>2023_PAAP_016</t>
  </si>
  <si>
    <t>2023_PAAP_017</t>
  </si>
  <si>
    <t>Servicii de întreținere, migrare și asistență tehnică software si hardware pentru platforma de acces, control și securitate F5 Networks</t>
  </si>
  <si>
    <t>29.09.2023</t>
  </si>
  <si>
    <t>29.12.2023</t>
  </si>
  <si>
    <t>22.09.2023</t>
  </si>
  <si>
    <t>72611000-6</t>
  </si>
  <si>
    <t>Servicii de interpretariat consecutiv, servicii interpretariat simultan și traduceri autorizate (retroversiuni)</t>
  </si>
  <si>
    <t>79540000-1</t>
  </si>
  <si>
    <t>19.10.2023</t>
  </si>
  <si>
    <t>19.01.2023</t>
  </si>
  <si>
    <t>90900000-6</t>
  </si>
  <si>
    <t>27.10.2023</t>
  </si>
  <si>
    <t>Lucrări de instalare de ascensoare</t>
  </si>
  <si>
    <t>45313100-5</t>
  </si>
  <si>
    <t>31.10.2023</t>
  </si>
  <si>
    <t>31.01.2024</t>
  </si>
  <si>
    <t>Aciziție finalizată</t>
  </si>
  <si>
    <t>Servicii de curățenie interioară și exterioară pentru:
Lot 1 - sediul Ministerului Finanțelor - Centrul Național pentru Informații Financiare situat în str. Poenaru Bordea, nr. 3-5, sector 4 București;
Lot 2 -  sediul Ministerului Finanțelor situat în B-dul Mircea Vodă nr. 44, tronson II, sector 3, București;
Lot 3 -  imobilul Unității de Imprimare Rapidă situat în str. Stolniceni, nr. 49, loc. Rm. Vâlcea, Jud. Vâlcea
Lot 4 -  imobilul situat în B-dul Libertății, nr. 14, etaj 3, sector 4, București</t>
  </si>
  <si>
    <t>2023_PAAP_018</t>
  </si>
  <si>
    <t>Servicii de întreținere și reparații aparate de aer condiționat amplasate în sediile MF</t>
  </si>
  <si>
    <t>50000000-5</t>
  </si>
  <si>
    <t>14.11.2023</t>
  </si>
  <si>
    <t>14.03.2024</t>
  </si>
  <si>
    <t>Altă situație
achiziția nu se mai initiează în anul 2023</t>
  </si>
  <si>
    <t xml:space="preserve">
Achiziție finalizată</t>
  </si>
  <si>
    <t>Altă situație,
achiziția nu se mai initiează în anul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</si>
</sst>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e_i_-;\-* #,##0.00\ _l_e_i_-;_-* &quot;-&quot;??\ _l_e_i_-;_-@_-"/>
    <numFmt numFmtId="165" formatCode="dd\.mm\.yyyy"/>
  </numFmts>
  <fonts count="45"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charset val="238"/>
      <scheme val="minor"/>
    </font>
    <font>
      <sz val="11"/>
      <name val="Calibri"/>
      <family val="2"/>
      <scheme val="minor"/>
    </font>
    <font>
      <b/>
      <sz val="11"/>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4"/>
      <name val="Calibri"/>
      <family val="2"/>
      <scheme val="minor"/>
    </font>
    <font>
      <sz val="16"/>
      <name val="Calibri"/>
      <family val="2"/>
      <scheme val="minor"/>
    </font>
    <font>
      <sz val="14"/>
      <color rgb="FFFF0000"/>
      <name val="Calibri"/>
      <family val="2"/>
      <scheme val="minor"/>
    </font>
    <font>
      <sz val="11"/>
      <name val="Calibri"/>
      <family val="2"/>
    </font>
    <font>
      <sz val="12"/>
      <name val="Calibri"/>
      <family val="2"/>
      <scheme val="minor"/>
    </font>
    <font>
      <sz val="12"/>
      <color theme="1"/>
      <name val="Calibri"/>
      <family val="2"/>
      <scheme val="minor"/>
    </font>
    <font>
      <sz val="14"/>
      <name val="Arial"/>
      <family val="2"/>
      <charset val="238"/>
    </font>
    <font>
      <sz val="14"/>
      <color rgb="FFFF0000"/>
      <name val="Arial"/>
      <family val="2"/>
      <charset val="238"/>
    </font>
    <font>
      <sz val="12"/>
      <name val="Arial"/>
      <family val="2"/>
      <charset val="238"/>
    </font>
    <font>
      <sz val="18"/>
      <name val="Calibri"/>
      <family val="2"/>
      <charset val="238"/>
      <scheme val="minor"/>
    </font>
    <font>
      <sz val="18"/>
      <color theme="1"/>
      <name val="Calibri"/>
      <family val="2"/>
      <charset val="238"/>
      <scheme val="minor"/>
    </font>
    <font>
      <sz val="12"/>
      <color rgb="FFFF0000"/>
      <name val="Calibri"/>
      <family val="2"/>
      <scheme val="minor"/>
    </font>
    <font>
      <sz val="22"/>
      <name val="Calibri"/>
      <family val="2"/>
      <scheme val="minor"/>
    </font>
    <font>
      <sz val="11"/>
      <name val="Calibri"/>
      <family val="2"/>
      <scheme val="minor"/>
    </font>
    <font>
      <sz val="12"/>
      <color rgb="FFC00000"/>
      <name val="Calibri"/>
      <family val="2"/>
      <scheme val="minor"/>
    </font>
    <font>
      <sz val="11"/>
      <color rgb="FFC00000"/>
      <name val="Calibri"/>
      <family val="2"/>
      <charset val="238"/>
      <scheme val="minor"/>
    </font>
    <font>
      <sz val="11"/>
      <color rgb="FFC00000"/>
      <name val="Calibri"/>
      <family val="2"/>
      <scheme val="minor"/>
    </font>
    <font>
      <sz val="11"/>
      <name val="Calibri"/>
      <family val="2"/>
    </font>
    <font>
      <sz val="14"/>
      <name val="Calibri"/>
      <family val="2"/>
      <scheme val="minor"/>
    </font>
    <font>
      <sz val="14"/>
      <name val="Arial"/>
      <family val="2"/>
    </font>
    <font>
      <sz val="10"/>
      <name val="Calibri"/>
      <family val="2"/>
      <scheme val="minor"/>
    </font>
    <font>
      <b/>
      <sz val="11"/>
      <name val="Calibri"/>
      <family val="2"/>
    </font>
    <font>
      <b/>
      <sz val="22"/>
      <name val="Calibri"/>
      <family val="2"/>
      <scheme val="minor"/>
    </font>
    <font>
      <sz val="8"/>
      <name val="Calibri"/>
      <family val="2"/>
      <scheme val="minor"/>
    </font>
    <font>
      <sz val="26"/>
      <name val="Calibri"/>
      <family val="2"/>
      <scheme val="minor"/>
    </font>
    <font>
      <b/>
      <sz val="26"/>
      <name val="Calibri"/>
      <family val="2"/>
      <scheme val="minor"/>
    </font>
    <font>
      <sz val="26"/>
      <name val="Arial Narrow"/>
      <family val="2"/>
    </font>
    <font>
      <sz val="28"/>
      <name val="Trebuchet MS"/>
      <family val="2"/>
    </font>
    <font>
      <b/>
      <sz val="24"/>
      <name val="Trebuchet MS"/>
      <family val="2"/>
    </font>
    <font>
      <sz val="24"/>
      <name val="Trebuchet MS"/>
      <family val="2"/>
    </font>
    <font>
      <b/>
      <sz val="28"/>
      <name val="Trebuchet MS"/>
      <family val="2"/>
    </font>
    <font>
      <b/>
      <sz val="26"/>
      <name val="Trebuchet MS"/>
      <family val="2"/>
    </font>
    <font>
      <b/>
      <sz val="36"/>
      <name val="Trebuchet MS"/>
      <family val="2"/>
    </font>
    <font>
      <b/>
      <u/>
      <sz val="28"/>
      <name val="Trebuchet MS"/>
      <family val="2"/>
    </font>
    <font>
      <sz val="36"/>
      <name val="Calibri"/>
      <family val="2"/>
      <scheme val="minor"/>
    </font>
    <font>
      <sz val="26"/>
      <name val="Calibri"/>
      <scheme val="minor"/>
    </font>
  </fonts>
  <fills count="10">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0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bottom/>
      <diagonal/>
    </border>
    <border>
      <left/>
      <right/>
      <top style="thin">
        <color theme="4" tint="0.39997558519241921"/>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4" fillId="3" borderId="2" xfId="0" applyFont="1" applyFill="1" applyBorder="1" applyAlignment="1">
      <alignment horizontal="center" vertical="center" wrapText="1"/>
    </xf>
    <xf numFmtId="0" fontId="0" fillId="0" borderId="0" xfId="0" applyAlignment="1">
      <alignment horizontal="left"/>
    </xf>
    <xf numFmtId="0" fontId="0" fillId="4" borderId="0" xfId="0" applyFill="1"/>
    <xf numFmtId="0" fontId="4" fillId="3" borderId="2" xfId="0" applyFont="1" applyFill="1" applyBorder="1"/>
    <xf numFmtId="0" fontId="0" fillId="0" borderId="0" xfId="0" pivotButton="1"/>
    <xf numFmtId="164" fontId="0" fillId="0" borderId="0" xfId="0" applyNumberFormat="1"/>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1" applyFont="1" applyFill="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xf numFmtId="0" fontId="4" fillId="0" borderId="0" xfId="0" applyFont="1" applyAlignment="1">
      <alignment horizontal="left" vertical="center" wrapText="1"/>
    </xf>
    <xf numFmtId="0" fontId="5" fillId="2" borderId="2" xfId="0" applyFont="1" applyFill="1" applyBorder="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2" xfId="0" applyFont="1" applyBorder="1"/>
    <xf numFmtId="0" fontId="4" fillId="0" borderId="2" xfId="0" applyFont="1" applyBorder="1" applyAlignment="1">
      <alignment horizontal="left" vertical="center"/>
    </xf>
    <xf numFmtId="164" fontId="6" fillId="4" borderId="0" xfId="1" applyFont="1" applyFill="1"/>
    <xf numFmtId="0" fontId="4" fillId="3" borderId="0" xfId="0" applyFont="1" applyFill="1" applyAlignment="1">
      <alignment horizontal="center" vertical="center" wrapText="1"/>
    </xf>
    <xf numFmtId="0" fontId="2" fillId="0" borderId="0" xfId="0" applyFont="1"/>
    <xf numFmtId="0" fontId="4" fillId="0" borderId="2" xfId="0" applyFont="1" applyBorder="1" applyAlignment="1">
      <alignment horizontal="right" vertical="center" wrapText="1"/>
    </xf>
    <xf numFmtId="0" fontId="0" fillId="0" borderId="1" xfId="0" applyBorder="1"/>
    <xf numFmtId="0" fontId="0" fillId="0" borderId="1" xfId="0" applyBorder="1" applyAlignment="1">
      <alignment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9" fillId="0" borderId="1" xfId="1" applyFont="1" applyFill="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xf>
    <xf numFmtId="0" fontId="0" fillId="0" borderId="1" xfId="0" applyBorder="1" applyAlignment="1">
      <alignment horizontal="center"/>
    </xf>
    <xf numFmtId="0" fontId="6" fillId="7" borderId="1" xfId="0" applyFont="1" applyFill="1" applyBorder="1" applyAlignment="1">
      <alignment horizontal="center"/>
    </xf>
    <xf numFmtId="0" fontId="0" fillId="0" borderId="5" xfId="0" applyBorder="1" applyAlignment="1">
      <alignment horizontal="left"/>
    </xf>
    <xf numFmtId="0" fontId="0" fillId="7" borderId="5" xfId="0" applyFill="1" applyBorder="1" applyAlignment="1">
      <alignment horizontal="left"/>
    </xf>
    <xf numFmtId="0" fontId="6" fillId="0" borderId="1" xfId="0" applyFont="1" applyBorder="1" applyAlignment="1">
      <alignment horizontal="center" vertical="center"/>
    </xf>
    <xf numFmtId="0" fontId="6" fillId="0" borderId="1" xfId="0" applyFont="1" applyBorder="1" applyAlignment="1">
      <alignment horizontal="center"/>
    </xf>
    <xf numFmtId="0" fontId="6" fillId="7" borderId="1" xfId="0" applyFont="1" applyFill="1" applyBorder="1" applyAlignment="1">
      <alignment horizontal="center" vertical="center"/>
    </xf>
    <xf numFmtId="0" fontId="0" fillId="0" borderId="4" xfId="0" applyBorder="1" applyAlignment="1">
      <alignment horizontal="center"/>
    </xf>
    <xf numFmtId="0" fontId="0" fillId="8" borderId="6" xfId="0" applyFill="1" applyBorder="1" applyAlignment="1">
      <alignment horizontal="left" wrapText="1"/>
    </xf>
    <xf numFmtId="0" fontId="6" fillId="8" borderId="6" xfId="0" applyFont="1" applyFill="1" applyBorder="1" applyAlignment="1">
      <alignment horizontal="left" wrapText="1"/>
    </xf>
    <xf numFmtId="0" fontId="9" fillId="0" borderId="0" xfId="0" applyFont="1"/>
    <xf numFmtId="0" fontId="9"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center" wrapText="1"/>
    </xf>
    <xf numFmtId="0" fontId="11" fillId="0" borderId="1" xfId="0" applyFont="1" applyBorder="1" applyAlignment="1">
      <alignment horizontal="center" vertical="center" wrapText="1"/>
    </xf>
    <xf numFmtId="164" fontId="9" fillId="0" borderId="1" xfId="1" applyFont="1" applyFill="1" applyBorder="1" applyAlignment="1">
      <alignment horizontal="right" vertical="center"/>
    </xf>
    <xf numFmtId="0" fontId="4" fillId="0" borderId="2" xfId="0" applyFont="1" applyBorder="1" applyAlignment="1">
      <alignment horizontal="right" vertical="center"/>
    </xf>
    <xf numFmtId="0" fontId="4" fillId="3" borderId="2" xfId="0" applyFont="1" applyFill="1" applyBorder="1" applyAlignment="1">
      <alignment horizontal="right"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164" fontId="13" fillId="0" borderId="1" xfId="1" applyFont="1" applyBorder="1" applyAlignment="1">
      <alignment horizontal="center" vertical="center" wrapText="1"/>
    </xf>
    <xf numFmtId="0" fontId="14" fillId="0" borderId="1" xfId="0" applyFont="1" applyBorder="1" applyAlignment="1">
      <alignment horizontal="center" vertical="center" wrapText="1"/>
    </xf>
    <xf numFmtId="164" fontId="13" fillId="0" borderId="1" xfId="1" applyFont="1" applyFill="1" applyBorder="1" applyAlignment="1">
      <alignment horizontal="center" vertical="center" wrapText="1"/>
    </xf>
    <xf numFmtId="49" fontId="13" fillId="0" borderId="1" xfId="0" applyNumberFormat="1" applyFont="1" applyBorder="1" applyAlignment="1">
      <alignment horizontal="center" vertical="center"/>
    </xf>
    <xf numFmtId="0" fontId="13" fillId="0" borderId="0" xfId="0" applyFont="1" applyAlignment="1">
      <alignment horizontal="center" vertical="center"/>
    </xf>
    <xf numFmtId="14" fontId="13" fillId="0" borderId="1" xfId="0" applyNumberFormat="1" applyFont="1" applyBorder="1" applyAlignment="1">
      <alignment horizontal="center" vertical="center" wrapText="1"/>
    </xf>
    <xf numFmtId="0" fontId="0" fillId="0" borderId="7" xfId="0" applyBorder="1"/>
    <xf numFmtId="0" fontId="0" fillId="0" borderId="8" xfId="0" applyBorder="1"/>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14" fontId="1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49" fontId="4" fillId="0" borderId="0" xfId="0" applyNumberFormat="1" applyFont="1"/>
    <xf numFmtId="49" fontId="5" fillId="2" borderId="0" xfId="0" applyNumberFormat="1" applyFont="1" applyFill="1" applyAlignment="1">
      <alignment horizontal="center" vertical="center" wrapText="1"/>
    </xf>
    <xf numFmtId="49" fontId="12" fillId="0" borderId="0" xfId="0" applyNumberFormat="1" applyFont="1"/>
    <xf numFmtId="0" fontId="13"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3" xfId="0" applyBorder="1"/>
    <xf numFmtId="164" fontId="4" fillId="0" borderId="1" xfId="1" applyFont="1" applyFill="1" applyBorder="1" applyAlignment="1">
      <alignment horizontal="right" vertical="center"/>
    </xf>
    <xf numFmtId="0" fontId="20" fillId="0" borderId="1" xfId="0" applyFont="1" applyBorder="1" applyAlignment="1">
      <alignment horizontal="center" vertical="center" wrapText="1"/>
    </xf>
    <xf numFmtId="0" fontId="22" fillId="0" borderId="0" xfId="0" applyFont="1"/>
    <xf numFmtId="14"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18" fillId="9" borderId="1" xfId="0" applyFont="1" applyFill="1" applyBorder="1" applyAlignment="1">
      <alignment horizontal="center" vertical="center" wrapText="1"/>
    </xf>
    <xf numFmtId="0" fontId="13" fillId="9" borderId="1" xfId="0" applyFont="1" applyFill="1" applyBorder="1" applyAlignment="1">
      <alignment vertical="center" wrapText="1"/>
    </xf>
    <xf numFmtId="0" fontId="13" fillId="9" borderId="1" xfId="0" applyFont="1" applyFill="1" applyBorder="1" applyAlignment="1">
      <alignment vertical="center"/>
    </xf>
    <xf numFmtId="164" fontId="4" fillId="9" borderId="1" xfId="1" applyFont="1" applyFill="1" applyBorder="1" applyAlignment="1">
      <alignment horizontal="center" vertical="center"/>
    </xf>
    <xf numFmtId="14" fontId="13" fillId="9" borderId="1" xfId="0" applyNumberFormat="1" applyFont="1" applyFill="1" applyBorder="1" applyAlignment="1">
      <alignment horizontal="center" vertical="center"/>
    </xf>
    <xf numFmtId="0" fontId="4"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164" fontId="3" fillId="0" borderId="1" xfId="1" applyFont="1" applyFill="1" applyBorder="1" applyAlignment="1">
      <alignment horizontal="center" vertical="center"/>
    </xf>
    <xf numFmtId="0" fontId="25" fillId="0" borderId="1" xfId="0" applyFont="1" applyBorder="1" applyAlignment="1">
      <alignment horizontal="center" vertical="center" wrapText="1"/>
    </xf>
    <xf numFmtId="0" fontId="27" fillId="0" borderId="3" xfId="0" applyFont="1" applyBorder="1" applyAlignment="1">
      <alignment horizontal="center" vertical="center"/>
    </xf>
    <xf numFmtId="0" fontId="28" fillId="0" borderId="1" xfId="0" applyFont="1" applyBorder="1" applyAlignment="1">
      <alignment horizontal="left" vertical="center" wrapText="1"/>
    </xf>
    <xf numFmtId="0" fontId="28" fillId="0" borderId="1" xfId="0" applyFont="1" applyBorder="1" applyAlignment="1">
      <alignment horizontal="center" vertical="center" wrapText="1"/>
    </xf>
    <xf numFmtId="164" fontId="22" fillId="0" borderId="1" xfId="1" applyFont="1" applyFill="1" applyBorder="1" applyAlignment="1">
      <alignment horizontal="center" vertical="center"/>
    </xf>
    <xf numFmtId="14" fontId="28"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49" fontId="26" fillId="0" borderId="0" xfId="0" applyNumberFormat="1" applyFont="1"/>
    <xf numFmtId="0" fontId="20" fillId="0" borderId="5" xfId="0" applyFont="1" applyBorder="1" applyAlignment="1">
      <alignment horizontal="center" vertical="center" wrapText="1"/>
    </xf>
    <xf numFmtId="164" fontId="4" fillId="0" borderId="0" xfId="0" applyNumberFormat="1" applyFont="1" applyAlignment="1">
      <alignment horizontal="center" vertical="center"/>
    </xf>
    <xf numFmtId="0" fontId="4" fillId="2" borderId="2" xfId="0" applyFont="1" applyFill="1" applyBorder="1" applyAlignment="1">
      <alignment horizontal="center" vertical="center" wrapText="1"/>
    </xf>
    <xf numFmtId="49" fontId="30" fillId="2" borderId="0" xfId="0" applyNumberFormat="1" applyFont="1" applyFill="1" applyAlignment="1">
      <alignment horizontal="center" vertical="center" wrapText="1"/>
    </xf>
    <xf numFmtId="49" fontId="12" fillId="0" borderId="0" xfId="0" applyNumberFormat="1" applyFont="1" applyAlignment="1">
      <alignment horizontal="center" vertical="center" wrapText="1"/>
    </xf>
    <xf numFmtId="14" fontId="20"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0" fontId="29"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14" fontId="25" fillId="0" borderId="1" xfId="0" applyNumberFormat="1" applyFont="1" applyBorder="1" applyAlignment="1">
      <alignment horizontal="center" vertical="center" wrapText="1"/>
    </xf>
    <xf numFmtId="164" fontId="13" fillId="0" borderId="1" xfId="1" applyFont="1" applyFill="1" applyBorder="1" applyAlignment="1">
      <alignment horizontal="right" vertical="center"/>
    </xf>
    <xf numFmtId="164" fontId="13" fillId="0" borderId="1" xfId="1" applyFont="1" applyFill="1" applyBorder="1" applyAlignment="1">
      <alignment horizontal="center" vertical="center"/>
    </xf>
    <xf numFmtId="14" fontId="20" fillId="0" borderId="1" xfId="0" applyNumberFormat="1" applyFont="1" applyBorder="1" applyAlignment="1">
      <alignment horizontal="center" vertical="center"/>
    </xf>
    <xf numFmtId="49" fontId="20" fillId="0" borderId="1" xfId="0" applyNumberFormat="1" applyFont="1" applyBorder="1" applyAlignment="1">
      <alignment horizontal="center" vertical="center"/>
    </xf>
    <xf numFmtId="4" fontId="13" fillId="0" borderId="1" xfId="0" applyNumberFormat="1" applyFont="1" applyBorder="1" applyAlignment="1">
      <alignment horizontal="right" vertical="center"/>
    </xf>
    <xf numFmtId="164" fontId="13" fillId="0" borderId="1" xfId="1" applyFont="1" applyFill="1" applyBorder="1" applyAlignment="1">
      <alignment horizontal="right" vertical="center" wrapText="1"/>
    </xf>
    <xf numFmtId="0" fontId="13" fillId="0" borderId="3" xfId="0" applyFont="1" applyBorder="1" applyAlignment="1">
      <alignment horizontal="center" vertical="center"/>
    </xf>
    <xf numFmtId="164" fontId="4" fillId="0" borderId="1" xfId="1" applyFont="1" applyBorder="1" applyAlignment="1">
      <alignment horizontal="right" vertical="center"/>
    </xf>
    <xf numFmtId="0" fontId="9" fillId="0" borderId="0" xfId="0" applyFont="1" applyAlignment="1">
      <alignment horizontal="right"/>
    </xf>
    <xf numFmtId="0" fontId="8" fillId="2" borderId="1" xfId="0" applyFont="1" applyFill="1" applyBorder="1" applyAlignment="1">
      <alignment horizontal="right" vertical="center" wrapText="1"/>
    </xf>
    <xf numFmtId="164" fontId="13" fillId="0" borderId="1" xfId="1" applyFont="1" applyBorder="1" applyAlignment="1">
      <alignment horizontal="right" vertical="center" wrapText="1"/>
    </xf>
    <xf numFmtId="164" fontId="20" fillId="0" borderId="1" xfId="1" applyFont="1" applyBorder="1" applyAlignment="1">
      <alignment horizontal="right" vertical="center" wrapText="1"/>
    </xf>
    <xf numFmtId="4" fontId="13" fillId="9" borderId="1" xfId="0" applyNumberFormat="1" applyFont="1" applyFill="1" applyBorder="1" applyAlignment="1">
      <alignment horizontal="right" vertical="center"/>
    </xf>
    <xf numFmtId="164" fontId="3" fillId="0" borderId="1" xfId="1" applyFont="1" applyBorder="1" applyAlignment="1">
      <alignment horizontal="right" vertical="center" wrapText="1"/>
    </xf>
    <xf numFmtId="164" fontId="0" fillId="0" borderId="1" xfId="1" applyFont="1" applyBorder="1" applyAlignment="1">
      <alignment horizontal="right" vertical="center" wrapText="1"/>
    </xf>
    <xf numFmtId="164" fontId="15" fillId="0" borderId="1" xfId="1" applyFont="1" applyBorder="1" applyAlignment="1">
      <alignment horizontal="right" vertical="center" wrapText="1"/>
    </xf>
    <xf numFmtId="164" fontId="16" fillId="0" borderId="1" xfId="1" applyFont="1" applyBorder="1" applyAlignment="1">
      <alignment horizontal="right" vertical="center" wrapText="1"/>
    </xf>
    <xf numFmtId="164" fontId="28" fillId="0" borderId="1" xfId="1" applyFont="1" applyBorder="1" applyAlignment="1">
      <alignment horizontal="right" vertical="center" wrapText="1"/>
    </xf>
    <xf numFmtId="164" fontId="4" fillId="0" borderId="0" xfId="0" applyNumberFormat="1" applyFont="1" applyAlignment="1">
      <alignment horizontal="right" vertical="center"/>
    </xf>
    <xf numFmtId="0" fontId="4"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right"/>
    </xf>
    <xf numFmtId="164" fontId="4" fillId="9" borderId="1" xfId="1" applyFont="1" applyFill="1" applyBorder="1" applyAlignment="1">
      <alignment horizontal="right" vertical="center"/>
    </xf>
    <xf numFmtId="164" fontId="3" fillId="0" borderId="1" xfId="1" applyFont="1" applyFill="1" applyBorder="1" applyAlignment="1">
      <alignment horizontal="right" vertical="center"/>
    </xf>
    <xf numFmtId="164" fontId="22" fillId="0" borderId="1" xfId="1" applyFont="1" applyBorder="1" applyAlignment="1">
      <alignment horizontal="right" vertical="center"/>
    </xf>
    <xf numFmtId="0" fontId="14" fillId="4" borderId="1" xfId="0" applyFont="1" applyFill="1" applyBorder="1" applyAlignment="1">
      <alignment vertical="center" wrapText="1"/>
    </xf>
    <xf numFmtId="4" fontId="13" fillId="4" borderId="1" xfId="0" applyNumberFormat="1" applyFont="1" applyFill="1" applyBorder="1" applyAlignment="1">
      <alignment horizontal="right" vertical="center"/>
    </xf>
    <xf numFmtId="0" fontId="21" fillId="0" borderId="0" xfId="0" applyFont="1"/>
    <xf numFmtId="0" fontId="21" fillId="0" borderId="0" xfId="0" applyFont="1" applyAlignment="1">
      <alignment horizontal="left" vertical="center" wrapText="1"/>
    </xf>
    <xf numFmtId="0" fontId="9" fillId="5" borderId="0" xfId="0" applyFont="1" applyFill="1"/>
    <xf numFmtId="0" fontId="31" fillId="0" borderId="0" xfId="0" applyFont="1" applyAlignment="1">
      <alignment horizontal="center" vertical="center"/>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0" xfId="0" applyFont="1" applyAlignment="1">
      <alignment horizontal="center" vertical="center"/>
    </xf>
    <xf numFmtId="0" fontId="33" fillId="0" borderId="0" xfId="0" applyFont="1"/>
    <xf numFmtId="0" fontId="33" fillId="0" borderId="0" xfId="0" applyFont="1" applyAlignment="1">
      <alignment horizontal="center" vertical="center" wrapText="1"/>
    </xf>
    <xf numFmtId="0" fontId="33" fillId="0" borderId="0" xfId="0" applyFont="1" applyAlignment="1">
      <alignment horizontal="left" vertical="center" wrapText="1"/>
    </xf>
    <xf numFmtId="9" fontId="33" fillId="0" borderId="1" xfId="2" applyFont="1" applyFill="1" applyBorder="1" applyAlignment="1">
      <alignment horizontal="right" vertical="center" wrapText="1"/>
    </xf>
    <xf numFmtId="0" fontId="35" fillId="0" borderId="1" xfId="0" applyFont="1" applyBorder="1" applyAlignment="1">
      <alignment horizontal="center" vertical="center" wrapText="1"/>
    </xf>
    <xf numFmtId="9" fontId="33" fillId="0" borderId="1" xfId="2" applyFont="1" applyFill="1" applyBorder="1" applyAlignment="1">
      <alignment horizontal="right"/>
    </xf>
    <xf numFmtId="49" fontId="33" fillId="0" borderId="1" xfId="0" applyNumberFormat="1" applyFont="1" applyBorder="1" applyAlignment="1">
      <alignment horizontal="center" vertical="center"/>
    </xf>
    <xf numFmtId="49" fontId="35" fillId="0" borderId="1" xfId="0" applyNumberFormat="1" applyFont="1" applyBorder="1" applyAlignment="1">
      <alignment horizontal="center" vertical="center"/>
    </xf>
    <xf numFmtId="0" fontId="36" fillId="0" borderId="0" xfId="0" applyFont="1" applyAlignment="1">
      <alignment horizontal="left" vertical="center" wrapText="1"/>
    </xf>
    <xf numFmtId="0" fontId="40" fillId="2" borderId="3"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0" xfId="0" applyFont="1" applyFill="1" applyAlignment="1">
      <alignment horizontal="center" vertical="center" wrapText="1"/>
    </xf>
    <xf numFmtId="0" fontId="36" fillId="0" borderId="0" xfId="0" applyFont="1" applyAlignment="1">
      <alignment horizontal="center" vertical="center"/>
    </xf>
    <xf numFmtId="0" fontId="36" fillId="0" borderId="0" xfId="0" applyFont="1"/>
    <xf numFmtId="0" fontId="36" fillId="0" borderId="0" xfId="0" applyFont="1" applyAlignment="1">
      <alignment horizontal="center" vertical="center" wrapText="1"/>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4" fontId="38" fillId="0" borderId="1" xfId="0" applyNumberFormat="1" applyFont="1" applyBorder="1" applyAlignment="1">
      <alignment horizontal="right" vertical="center" wrapText="1"/>
    </xf>
    <xf numFmtId="4" fontId="38" fillId="0" borderId="1" xfId="0" applyNumberFormat="1" applyFont="1" applyBorder="1" applyAlignment="1" applyProtection="1">
      <alignment horizontal="right" vertical="center" wrapText="1"/>
      <protection locked="0"/>
    </xf>
    <xf numFmtId="165" fontId="38" fillId="0" borderId="1" xfId="0" applyNumberFormat="1" applyFont="1" applyBorder="1" applyAlignment="1">
      <alignment horizontal="center" vertical="center" wrapText="1"/>
    </xf>
    <xf numFmtId="0" fontId="38" fillId="0" borderId="7" xfId="0" applyFont="1" applyBorder="1" applyAlignment="1">
      <alignment horizontal="center" vertical="center" wrapText="1"/>
    </xf>
    <xf numFmtId="0" fontId="38" fillId="0" borderId="7" xfId="0" applyFont="1" applyBorder="1" applyAlignment="1">
      <alignment horizontal="left" vertical="center" wrapText="1"/>
    </xf>
    <xf numFmtId="4" fontId="38" fillId="0" borderId="7" xfId="0" applyNumberFormat="1" applyFont="1" applyBorder="1" applyAlignment="1">
      <alignment horizontal="right" vertical="center" wrapText="1"/>
    </xf>
    <xf numFmtId="4" fontId="37" fillId="0" borderId="1" xfId="0" applyNumberFormat="1" applyFont="1" applyBorder="1" applyAlignment="1">
      <alignment horizontal="right" vertical="center" wrapText="1"/>
    </xf>
    <xf numFmtId="0" fontId="38" fillId="6" borderId="1" xfId="0" applyFont="1" applyFill="1" applyBorder="1" applyAlignment="1">
      <alignment horizontal="center" vertical="center" wrapText="1"/>
    </xf>
    <xf numFmtId="0" fontId="38" fillId="6" borderId="1" xfId="0" applyFont="1" applyFill="1" applyBorder="1" applyAlignment="1">
      <alignment horizontal="left" vertical="center" wrapText="1"/>
    </xf>
    <xf numFmtId="4" fontId="38" fillId="6" borderId="1" xfId="0" applyNumberFormat="1" applyFont="1" applyFill="1" applyBorder="1" applyAlignment="1">
      <alignment horizontal="right" vertical="center" wrapText="1"/>
    </xf>
    <xf numFmtId="0" fontId="38" fillId="0" borderId="1" xfId="0" applyNumberFormat="1" applyFont="1" applyFill="1" applyBorder="1" applyAlignment="1" applyProtection="1">
      <alignment horizontal="center" vertical="center" wrapText="1"/>
    </xf>
    <xf numFmtId="0" fontId="38" fillId="0" borderId="1" xfId="0" applyNumberFormat="1" applyFont="1" applyFill="1" applyBorder="1" applyAlignment="1" applyProtection="1">
      <alignment horizontal="left" vertical="center" wrapText="1"/>
    </xf>
    <xf numFmtId="4" fontId="38" fillId="0" borderId="1" xfId="0" applyNumberFormat="1" applyFont="1" applyFill="1" applyBorder="1" applyAlignment="1" applyProtection="1">
      <alignment horizontal="right" vertical="center" wrapText="1"/>
    </xf>
    <xf numFmtId="165" fontId="38" fillId="0" borderId="1" xfId="0" applyNumberFormat="1" applyFont="1" applyFill="1" applyBorder="1" applyAlignment="1" applyProtection="1">
      <alignment horizontal="center" vertical="center" wrapText="1"/>
    </xf>
    <xf numFmtId="165" fontId="38" fillId="0" borderId="7" xfId="0" applyNumberFormat="1" applyFont="1" applyBorder="1" applyAlignment="1">
      <alignment horizontal="center" vertical="center" wrapText="1"/>
    </xf>
    <xf numFmtId="0" fontId="41" fillId="0" borderId="0" xfId="0" applyFont="1"/>
    <xf numFmtId="0" fontId="43" fillId="0" borderId="0" xfId="0" applyFont="1"/>
    <xf numFmtId="165" fontId="38" fillId="6" borderId="1" xfId="0" applyNumberFormat="1" applyFont="1" applyFill="1" applyBorder="1" applyAlignment="1">
      <alignment horizontal="center" vertical="center" wrapText="1"/>
    </xf>
    <xf numFmtId="0" fontId="44"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49" fontId="44" fillId="0" borderId="1" xfId="0" applyNumberFormat="1" applyFont="1" applyFill="1" applyBorder="1" applyAlignment="1">
      <alignment horizontal="center" vertical="center"/>
    </xf>
    <xf numFmtId="0" fontId="44" fillId="0" borderId="1" xfId="0" applyFont="1" applyFill="1" applyBorder="1" applyAlignment="1">
      <alignment horizontal="center" vertical="center"/>
    </xf>
    <xf numFmtId="9" fontId="44" fillId="0" borderId="1" xfId="2" applyFont="1" applyFill="1" applyBorder="1" applyAlignment="1">
      <alignment horizontal="right"/>
    </xf>
    <xf numFmtId="0"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49" fontId="33" fillId="0" borderId="1" xfId="0" applyNumberFormat="1" applyFont="1" applyFill="1" applyBorder="1" applyAlignment="1">
      <alignment horizontal="center" vertical="center"/>
    </xf>
    <xf numFmtId="0" fontId="33" fillId="0" borderId="1" xfId="0" applyFont="1" applyFill="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 vertical="top"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xf>
  </cellXfs>
  <cellStyles count="3">
    <cellStyle name="Normal" xfId="0" builtinId="0"/>
    <cellStyle name="Procent" xfId="2" builtinId="5"/>
    <cellStyle name="Virgulă" xfId="1" builtinId="3"/>
  </cellStyles>
  <dxfs count="167">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vertical="bottom"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0" readingOrder="0"/>
    </dxf>
    <dxf>
      <alignment wrapText="1" readingOrder="0"/>
    </dxf>
    <dxf>
      <alignment wrapText="1" readingOrder="0"/>
    </dxf>
    <dxf>
      <alignment wrapText="1" readingOrder="0"/>
    </dxf>
    <dxf>
      <alignment wrapText="1" readingOrder="0"/>
    </dxf>
    <dxf>
      <alignment wrapText="0" readingOrder="0"/>
    </dxf>
    <dxf>
      <alignment wrapText="1" readingOrder="0"/>
    </dxf>
    <dxf>
      <numFmt numFmtId="164" formatCode="_-* #,##0.00\ _l_e_i_-;\-* #,##0.00\ _l_e_i_-;_-* &quot;-&quot;??\ _l_e_i_-;_-@_-"/>
    </dxf>
    <dxf>
      <numFmt numFmtId="164" formatCode="_-* #,##0.00\ _l_e_i_-;\-* #,##0.00\ _l_e_i_-;_-* &quot;-&quot;??\ _l_e_i_-;_-@_-"/>
    </dxf>
    <dxf>
      <font>
        <b val="0"/>
        <i val="0"/>
        <strike val="0"/>
        <condense val="0"/>
        <extend val="0"/>
        <outline val="0"/>
        <shadow val="0"/>
        <u val="none"/>
        <vertAlign val="baseline"/>
        <sz val="11"/>
        <color auto="1"/>
        <name val="Calibri"/>
        <scheme val="none"/>
      </font>
      <numFmt numFmtId="30" formatCode="@"/>
      <alignment horizontal="center" vertical="center" textRotation="0" wrapText="1" indent="0" justifyLastLine="0" shrinkToFit="0" readingOrder="0"/>
      <border diagonalUp="0" diagonalDown="0" outline="0">
        <left/>
        <right/>
        <top/>
        <bottom/>
      </border>
    </dxf>
    <dxf>
      <font>
        <strike val="0"/>
        <outline val="0"/>
        <shadow val="0"/>
        <u val="none"/>
        <vertAlign val="baseline"/>
        <color auto="1"/>
        <name val="Calibri"/>
        <scheme val="none"/>
      </font>
      <numFmt numFmtId="30" formatCode="@"/>
    </dxf>
    <dxf>
      <font>
        <b val="0"/>
        <i val="0"/>
        <strike val="0"/>
        <condense val="0"/>
        <extend val="0"/>
        <outline val="0"/>
        <shadow val="0"/>
        <u val="none"/>
        <vertAlign val="baseline"/>
        <sz val="11"/>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7"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7"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4" formatCode="_-* #,##0.00\ _l_e_i_-;\-* #,##0.00\ _l_e_i_-;_-* &quot;-&quot;??\ _l_e_i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4" formatCode="_-* #,##0.00\ _l_e_i_-;\-* #,##0.00\ _l_e_i_-;_-* &quot;-&quot;??\ _l_e_i_-;_-@_-"/>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u val="none"/>
        <vertAlign val="baseline"/>
        <color auto="1"/>
        <name val="Calibri"/>
        <scheme val="none"/>
      </font>
    </dxf>
    <dxf>
      <border outline="0">
        <left style="thin">
          <color rgb="FF000000"/>
        </left>
        <right style="thin">
          <color rgb="FF9BC2E6"/>
        </right>
      </border>
    </dxf>
    <dxf>
      <font>
        <b/>
        <i val="0"/>
        <strike val="0"/>
        <condense val="0"/>
        <extend val="0"/>
        <outline val="0"/>
        <shadow val="0"/>
        <u val="none"/>
        <vertAlign val="baseline"/>
        <sz val="11"/>
        <color auto="1"/>
        <name val="Calibri"/>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26"/>
        <color auto="1"/>
        <name val="Calibri"/>
        <scheme val="minor"/>
      </font>
      <fill>
        <patternFill patternType="none">
          <bgColor auto="1"/>
        </patternFill>
      </fill>
      <alignment horizontal="righ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26"/>
        <color auto="1"/>
        <name val="Calibri"/>
        <family val="2"/>
        <scheme val="minor"/>
      </font>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26"/>
        <color auto="1"/>
        <name val="Calibri"/>
        <family val="2"/>
        <scheme val="minor"/>
      </font>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strike val="0"/>
        <outline val="0"/>
        <shadow val="0"/>
        <u val="none"/>
        <vertAlign val="baseline"/>
        <sz val="26"/>
        <color auto="1"/>
        <name val="Calibri"/>
        <scheme val="minor"/>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font>
        <strike val="0"/>
        <outline val="0"/>
        <shadow val="0"/>
        <u val="none"/>
        <vertAlign val="baseline"/>
        <sz val="26"/>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6"/>
        <color auto="1"/>
        <name val="Calibri"/>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6"/>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6"/>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8"/>
        <color auto="1"/>
        <name val="Calibri"/>
        <scheme val="minor"/>
      </font>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8"/>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color auto="1"/>
        <name val="Calibri"/>
        <scheme val="minor"/>
      </font>
    </dxf>
    <dxf>
      <border outline="0">
        <left style="thin">
          <color rgb="FF000000"/>
        </left>
        <right style="thin">
          <color theme="4" tint="0.39997558519241921"/>
        </right>
      </border>
    </dxf>
    <dxf>
      <font>
        <strike val="0"/>
        <outline val="0"/>
        <shadow val="0"/>
        <u val="none"/>
        <vertAlign val="baseline"/>
        <sz val="26"/>
        <color auto="1"/>
      </font>
      <fill>
        <patternFill patternType="none">
          <bgColor auto="1"/>
        </patternFill>
      </fill>
    </dxf>
    <dxf>
      <font>
        <b/>
        <i val="0"/>
        <strike val="0"/>
        <condense val="0"/>
        <extend val="0"/>
        <outline val="0"/>
        <shadow val="0"/>
        <u val="none"/>
        <vertAlign val="baseline"/>
        <sz val="26"/>
        <color auto="1"/>
        <name val="Calibri"/>
        <scheme val="minor"/>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sheetMetadata" Target="metadata.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89467596" backgroundQuery="1" createdVersion="6" refreshedVersion="6" minRefreshableVersion="3" recordCount="0" supportSubquery="1" supportAdvancedDrill="1" xr:uid="{00000000-000A-0000-FFFF-FFFF00000000}">
  <cacheSource type="external" connectionId="1"/>
  <cacheFields count="7">
    <cacheField name="[Tipul_Procedurii].[Procedura].[Procedura]" caption="Procedura" numFmtId="0" hierarchy="78" level="1">
      <sharedItems containsBlank="1" count="9">
        <s v="AD complexa"/>
        <s v="AD simpla"/>
        <s v="Exceptie art. 30 L98/2016"/>
        <s v="Licitatie deschisa"/>
        <s v="Negociere fara publicare prealabila"/>
        <s v="Procedura proprie"/>
        <s v="Procedura simplificata"/>
        <m u="1"/>
        <s v="Exceptie art. 29 L98/2016" u="1"/>
      </sharedItems>
    </cacheField>
    <cacheField name="[Measures].[Count of Tip procedura]" caption="Count of Tip procedura" numFmtId="0" hierarchy="97" level="32767"/>
    <cacheField name="[Measures].[Count of Tip AD]" caption="Count of Tip AD" numFmtId="0" hierarchy="98" level="32767"/>
    <cacheField name="[Responsabil_achizitie].[Responsabil achizitie].[Responsabil achizitie]" caption="Responsabil achizitie" numFmtId="0" hierarchy="4" level="1">
      <sharedItems count="11">
        <s v="ALEXANDRU Anisia"/>
        <s v="BACNEANU Elena"/>
        <s v="BACNEANU Virginia"/>
        <s v="BUZICA Cristian"/>
        <s v="CIMPEANU Carmen"/>
        <s v="CRETU Anca"/>
        <s v="GHEORGHE Mirela"/>
        <s v="HORIA Alina"/>
        <s v="NEGREA Andrei"/>
        <s v="TEODORESCU Margareta"/>
        <s v="ZLOTEA Liliana"/>
      </sharedItems>
    </cacheField>
    <cacheField name="[Measures].[Count of Tip procedura 2]" caption="Count of Tip procedura 2" numFmtId="0" hierarchy="100" level="32767"/>
    <cacheField name="[Status_lucrare].[Status].[Status]" caption="Status" numFmtId="0" hierarchy="5" level="1">
      <sharedItems containsSemiMixedTypes="0" containsNonDate="0" containsString="0"/>
    </cacheField>
    <cacheField name="[Measures].[Count of Tip procedura 3]" caption="Count of Tip procedura 3" numFmtId="0" hierarchy="102" level="32767"/>
  </cacheFields>
  <cacheHierarchies count="107">
    <cacheHierarchy uniqueName="[Coduri_bugetare].[Cod bugetar]" caption="Cod bugetar" attribute="1" defaultMemberUniqueName="[Coduri_bugetare].[Cod bugetar].[All]" allUniqueName="[Coduri_bugetare].[Cod bugetar].[All]" dimensionUniqueName="[Coduri_bugetare]" displayFolder="" count="0" memberValueDatatype="130" unbalanced="0"/>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0" memberValueDatatype="130" unbalanced="0"/>
    <cacheHierarchy uniqueName="[Investitii].[Investitii]" caption="Investitii" attribute="1" defaultMemberUniqueName="[Investitii].[Investitii].[All]" allUniqueName="[Investitii].[Investitii].[All]" dimensionUniqueName="[Investitii]" displayFolder="" count="0" memberValueDatatype="130" unbalanced="0"/>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2" memberValueDatatype="130" unbalanced="0">
      <fieldsUsage count="2">
        <fieldUsage x="-1"/>
        <fieldUsage x="3"/>
      </fieldsUsage>
    </cacheHierarchy>
    <cacheHierarchy uniqueName="[Status_lucrare].[Status]" caption="Status" attribute="1" defaultMemberUniqueName="[Status_lucrare].[Status].[All]" allUniqueName="[Status_lucrare].[Status].[All]" dimensionUniqueName="[Status_lucrare]" displayFolder="" count="2" memberValueDatatype="130" unbalanced="0">
      <fieldsUsage count="2">
        <fieldUsage x="-1"/>
        <fieldUsage x="5"/>
      </fieldsUsage>
    </cacheHierarchy>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0" memberValueDatatype="130" unbalanced="0"/>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2" memberValueDatatype="130" unbalanced="0">
      <fieldsUsage count="2">
        <fieldUsage x="-1"/>
        <fieldUsage x="0"/>
      </fieldsUsage>
    </cacheHierarchy>
    <cacheHierarchy uniqueName="[Trimestrializare].[Trimestrializare]" caption="Trimestrializare" attribute="1" defaultMemberUniqueName="[Trimestrializare].[Trimestrializare].[All]" allUniqueName="[Trimestrializare].[Trimestrializare].[All]" dimensionUniqueName="[Trimestrializare]" displayFolder="" count="0" memberValueDatatype="130" unbalanced="0"/>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hidden="1">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hidden="1">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hidden="1">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oneField="1" hidden="1">
      <fieldsUsage count="1">
        <fieldUsage x="1"/>
      </fieldsUsage>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oneField="1" hidden="1">
      <fieldsUsage count="1">
        <fieldUsage x="2"/>
      </fieldsUsage>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oneField="1" hidden="1">
      <fieldsUsage count="1">
        <fieldUsage x="4"/>
      </fieldsUsage>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oneField="1" hidden="1">
      <fieldsUsage count="1">
        <fieldUsage x="6"/>
      </fieldsUsage>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hidden="1">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hidden="1">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hidden="1">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90624997" backgroundQuery="1" createdVersion="6" refreshedVersion="6" minRefreshableVersion="3" recordCount="0" supportSubquery="1" supportAdvancedDrill="1" xr:uid="{00000000-000A-0000-FFFF-FFFF01000000}">
  <cacheSource type="external" connectionId="1"/>
  <cacheFields count="7">
    <cacheField name="[Tabel_PAAP2018].[Pus disponibil].[Pus disponibil]" caption="Pus disponibil" numFmtId="0" hierarchy="56" level="1">
      <sharedItems containsSemiMixedTypes="0" containsNonDate="0" containsString="0"/>
    </cacheField>
    <cacheField name="[Coduri_bugetare].[Cod bugetar].[Cod bugetar]" caption="Cod bugetar" numFmtId="0" level="1">
      <sharedItems containsBlank="1" count="18">
        <s v="20.01.01"/>
        <s v="20.01.02"/>
        <s v="20.01.03"/>
        <s v="20.01.04"/>
        <s v="20.01.05"/>
        <s v="20.01.09"/>
        <s v="20.01.30"/>
        <s v="20.04.02"/>
        <s v="20.05.30"/>
        <s v="20.12"/>
        <s v="20.13"/>
        <s v="20.30.02"/>
        <s v="20.30.03"/>
        <s v="20.30.04"/>
        <s v="20.30.30"/>
        <s v="71.01.02"/>
        <s v="71.01.03"/>
        <m/>
      </sharedItems>
    </cacheField>
    <cacheField name="[Disponibil].[Disponibil].[Disponibil]" caption="Disponibil" numFmtId="0" hierarchy="2" level="1">
      <sharedItems containsSemiMixedTypes="0" containsNonDate="0" containsString="0"/>
    </cacheField>
    <cacheField name="[Investitii].[Investitii].[Investitii]" caption="Investitii" numFmtId="0" hierarchy="3" level="1">
      <sharedItems containsSemiMixedTypes="0" containsNonDate="0" containsString="0"/>
    </cacheField>
    <cacheField name="[Measures].[Sum of Valoare estimata  - lei fără TVA -]" caption="Sum of Valoare estimata  - lei fără TVA -" numFmtId="0" hierarchy="93" level="32767"/>
    <cacheField name="[Measures].[Sum of Valoare estimata  - lei fără TVA - 2]" caption="Sum of Valoare estimata  - lei fără TVA - 2" numFmtId="0" hierarchy="94" level="32767"/>
    <cacheField name="[Measures].[Sum of Valoare estimata  - lei fără TVA - 3]" caption="Sum of Valoare estimata  - lei fără TVA - 3" numFmtId="0" hierarchy="95" level="32767"/>
  </cacheFields>
  <cacheHierarchies count="107">
    <cacheHierarchy uniqueName="[Coduri_bugetare].[Cod bugetar]" caption="Cod bugetar" attribute="1" defaultMemberUniqueName="[Coduri_bugetare].[Cod bugetar].[All]" allUniqueName="[Coduri_bugetare].[Cod bugetar].[All]" dimensionUniqueName="[Coduri_bugetare]" displayFolder="" count="2" memberValueDatatype="130" unbalanced="0">
      <fieldsUsage count="2">
        <fieldUsage x="-1"/>
        <fieldUsage x="1"/>
      </fieldsUsage>
    </cacheHierarchy>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2" memberValueDatatype="130" unbalanced="0">
      <fieldsUsage count="2">
        <fieldUsage x="-1"/>
        <fieldUsage x="2"/>
      </fieldsUsage>
    </cacheHierarchy>
    <cacheHierarchy uniqueName="[Investitii].[Investitii]" caption="Investitii" attribute="1" defaultMemberUniqueName="[Investitii].[Investitii].[All]" allUniqueName="[Investitii].[Investitii].[All]" dimensionUniqueName="[Investitii]" displayFolder="" count="2" memberValueDatatype="130" unbalanced="0">
      <fieldsUsage count="2">
        <fieldUsage x="-1"/>
        <fieldUsage x="3"/>
      </fieldsUsage>
    </cacheHierarchy>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0" memberValueDatatype="130" unbalanced="0"/>
    <cacheHierarchy uniqueName="[Status_lucrare].[Status]" caption="Status" attribute="1" defaultMemberUniqueName="[Status_lucrare].[Status].[All]" allUniqueName="[Status_lucrare].[Status].[All]" dimensionUniqueName="[Status_lucrare]" displayFolder="" count="0" memberValueDatatype="130" unbalanced="0"/>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2" memberValueDatatype="130" unbalanced="0">
      <fieldsUsage count="2">
        <fieldUsage x="-1"/>
        <fieldUsage x="0"/>
      </fieldsUsage>
    </cacheHierarchy>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0" memberValueDatatype="130" unbalanced="0"/>
    <cacheHierarchy uniqueName="[Trimestrializare].[Trimestrializare]" caption="Trimestrializare" attribute="1" defaultMemberUniqueName="[Trimestrializare].[Trimestrializare].[All]" allUniqueName="[Trimestrializare].[Trimestrializare].[All]" dimensionUniqueName="[Trimestrializare]" displayFolder="" count="0" memberValueDatatype="130" unbalanced="0"/>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oneField="1" hidden="1">
      <fieldsUsage count="1">
        <fieldUsage x="4"/>
      </fieldsUsage>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oneField="1" hidden="1">
      <fieldsUsage count="1">
        <fieldUsage x="5"/>
      </fieldsUsage>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oneField="1" hidden="1">
      <fieldsUsage count="1">
        <fieldUsage x="6"/>
      </fieldsUsage>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hidden="1">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hidden="1">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hidden="1">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hidden="1">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hidden="1">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hidden="1">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hidden="1">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9201389" backgroundQuery="1" createdVersion="6" refreshedVersion="6" minRefreshableVersion="3" recordCount="0" supportSubquery="1" supportAdvancedDrill="1" xr:uid="{00000000-000A-0000-FFFF-FFFF02000000}">
  <cacheSource type="external" connectionId="1"/>
  <cacheFields count="7">
    <cacheField name="[Tabel_PAAP2018].[Pus disponibil].[Pus disponibil]" caption="Pus disponibil" numFmtId="0" hierarchy="56" level="1">
      <sharedItems containsSemiMixedTypes="0" containsNonDate="0" containsString="0"/>
    </cacheField>
    <cacheField name="[Disponibil].[Disponibil].[Disponibil]" caption="Disponibil" numFmtId="0" hierarchy="2" level="1">
      <sharedItems containsSemiMixedTypes="0" containsNonDate="0" containsString="0"/>
    </cacheField>
    <cacheField name="[Coduri_bugetare].[Cod bugetar].[Cod bugetar]" caption="Cod bugetar" numFmtId="0" level="1">
      <sharedItems containsBlank="1" count="18">
        <s v="20.01.01"/>
        <s v="20.01.02"/>
        <s v="20.01.03"/>
        <s v="20.01.04"/>
        <s v="20.01.05"/>
        <s v="20.01.09"/>
        <s v="20.01.30"/>
        <s v="20.04.02"/>
        <s v="20.05.30"/>
        <s v="20.12"/>
        <s v="20.13"/>
        <s v="20.30.02"/>
        <s v="20.30.03"/>
        <s v="20.30.04"/>
        <s v="20.30.30"/>
        <s v="71.01.02"/>
        <s v="71.01.03"/>
        <m/>
      </sharedItems>
    </cacheField>
    <cacheField name="[Measures].[Sum of Valoarea estimată  pentru 2020 lei fără TVA]" caption="Sum of Valoarea estimată  pentru 2020 lei fără TVA" numFmtId="0" hierarchy="103" level="32767"/>
    <cacheField name="[Measures].[Sum of Valoarea estimată  pentru 2020 lei fără TVA 2]" caption="Sum of Valoarea estimată  pentru 2020 lei fără TVA 2" numFmtId="0" hierarchy="104" level="32767"/>
    <cacheField name="[Measures].[Sum of Valoarea estimată  pentru 2020 lei fără TVA 3]" caption="Sum of Valoarea estimată  pentru 2020 lei fără TVA 3" numFmtId="0" hierarchy="106" level="32767"/>
    <cacheField name="[Trimestrializare].[Trimestrializare].[Trimestrializare]" caption="Trimestrializare" numFmtId="0" hierarchy="79" level="1">
      <sharedItems containsBlank="1" count="5">
        <s v="Trim I"/>
        <s v="Trim II"/>
        <s v="Trim III"/>
        <s v="Trim IV"/>
        <m/>
      </sharedItems>
    </cacheField>
  </cacheFields>
  <cacheHierarchies count="107">
    <cacheHierarchy uniqueName="[Coduri_bugetare].[Cod bugetar]" caption="Cod bugetar" attribute="1" defaultMemberUniqueName="[Coduri_bugetare].[Cod bugetar].[All]" allUniqueName="[Coduri_bugetare].[Cod bugetar].[All]" dimensionUniqueName="[Coduri_bugetare]" displayFolder="" count="2" memberValueDatatype="130" unbalanced="0">
      <fieldsUsage count="2">
        <fieldUsage x="-1"/>
        <fieldUsage x="2"/>
      </fieldsUsage>
    </cacheHierarchy>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2" memberValueDatatype="130" unbalanced="0">
      <fieldsUsage count="2">
        <fieldUsage x="-1"/>
        <fieldUsage x="1"/>
      </fieldsUsage>
    </cacheHierarchy>
    <cacheHierarchy uniqueName="[Investitii].[Investitii]" caption="Investitii" attribute="1" defaultMemberUniqueName="[Investitii].[Investitii].[All]" allUniqueName="[Investitii].[Investitii].[All]" dimensionUniqueName="[Investitii]" displayFolder="" count="0" memberValueDatatype="130" unbalanced="0"/>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0" memberValueDatatype="130" unbalanced="0"/>
    <cacheHierarchy uniqueName="[Status_lucrare].[Status]" caption="Status" attribute="1" defaultMemberUniqueName="[Status_lucrare].[Status].[All]" allUniqueName="[Status_lucrare].[Status].[All]" dimensionUniqueName="[Status_lucrare]" displayFolder="" count="0" memberValueDatatype="130" unbalanced="0"/>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2" memberValueDatatype="130" unbalanced="0">
      <fieldsUsage count="2">
        <fieldUsage x="-1"/>
        <fieldUsage x="0"/>
      </fieldsUsage>
    </cacheHierarchy>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0" memberValueDatatype="130" unbalanced="0"/>
    <cacheHierarchy uniqueName="[Trimestrializare].[Trimestrializare]" caption="Trimestrializare" attribute="1" defaultMemberUniqueName="[Trimestrializare].[Trimestrializare].[All]" allUniqueName="[Trimestrializare].[Trimestrializare].[All]" dimensionUniqueName="[Trimestrializare]" displayFolder="" count="2" memberValueDatatype="130" unbalanced="0">
      <fieldsUsage count="2">
        <fieldUsage x="-1"/>
        <fieldUsage x="6"/>
      </fieldsUsage>
    </cacheHierarchy>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hidden="1">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hidden="1">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hidden="1">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hidden="1">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hidden="1">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hidden="1">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hidden="1">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oneField="1" hidden="1">
      <fieldsUsage count="1">
        <fieldUsage x="3"/>
      </fieldsUsage>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oneField="1" hidden="1">
      <fieldsUsage count="1">
        <fieldUsage x="4"/>
      </fieldsUsage>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oneField="1" hidden="1">
      <fieldsUsage count="1">
        <fieldUsage x="5"/>
      </fieldsUsage>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0" cacheId="2"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rowHeaderCaption="Cod bugetar">
  <location ref="A4:O25" firstHeaderRow="1" firstDataRow="3" firstDataCol="1" rowPageCount="1" colPageCount="1"/>
  <pivotFields count="7">
    <pivotField allDrilled="1" subtotalTop="0" showAll="0" dataSourceSort="1" defaultAttributeDrillState="1"/>
    <pivotField axis="axisPage" allDrilled="1" subtotalTop="0" showAll="0" dataSourceSort="1" defaultAttributeDrillState="1">
      <items count="1">
        <item t="default"/>
      </items>
    </pivotField>
    <pivotField axis="axisRow" allDrilled="1" showAll="0" dataSourceSort="1" defaultAttributeDrillState="1">
      <items count="19">
        <item x="0"/>
        <item x="1"/>
        <item x="2"/>
        <item x="3"/>
        <item x="4"/>
        <item x="5"/>
        <item x="6"/>
        <item x="7"/>
        <item x="8"/>
        <item x="9"/>
        <item x="10"/>
        <item x="11"/>
        <item x="12"/>
        <item x="13"/>
        <item x="14"/>
        <item x="15"/>
        <item x="16"/>
        <item x="17"/>
        <item t="default"/>
      </items>
    </pivotField>
    <pivotField dataField="1" showAll="0"/>
    <pivotField dataField="1" showAll="0"/>
    <pivotField dataField="1" showAll="0"/>
    <pivotField axis="axisCol" allDrilled="1" showAll="0" dataSourceSort="1" defaultAttributeDrillState="1">
      <items count="6">
        <item x="0"/>
        <item x="1"/>
        <item x="2"/>
        <item x="3"/>
        <item x="4"/>
        <item t="default"/>
      </items>
    </pivotField>
  </pivotFields>
  <rowFields count="1">
    <field x="2"/>
  </rowFields>
  <rowItems count="19">
    <i>
      <x/>
    </i>
    <i>
      <x v="1"/>
    </i>
    <i>
      <x v="2"/>
    </i>
    <i>
      <x v="3"/>
    </i>
    <i>
      <x v="4"/>
    </i>
    <i>
      <x v="5"/>
    </i>
    <i>
      <x v="6"/>
    </i>
    <i>
      <x v="7"/>
    </i>
    <i>
      <x v="8"/>
    </i>
    <i>
      <x v="9"/>
    </i>
    <i>
      <x v="10"/>
    </i>
    <i>
      <x v="11"/>
    </i>
    <i>
      <x v="12"/>
    </i>
    <i>
      <x v="13"/>
    </i>
    <i>
      <x v="14"/>
    </i>
    <i>
      <x v="15"/>
    </i>
    <i>
      <x v="16"/>
    </i>
    <i>
      <x v="17"/>
    </i>
    <i t="grand">
      <x/>
    </i>
  </rowItems>
  <colFields count="2">
    <field x="-2"/>
    <field x="6"/>
  </colFields>
  <colItems count="14">
    <i>
      <x/>
      <x/>
    </i>
    <i r="1">
      <x v="1"/>
    </i>
    <i r="1">
      <x v="2"/>
    </i>
    <i r="1">
      <x v="3"/>
    </i>
    <i r="1">
      <x v="4"/>
    </i>
    <i i="1">
      <x v="1"/>
      <x/>
    </i>
    <i r="1" i="1">
      <x v="2"/>
    </i>
    <i i="2">
      <x v="2"/>
      <x/>
    </i>
    <i r="1" i="2">
      <x v="1"/>
    </i>
    <i r="1" i="2">
      <x v="2"/>
    </i>
    <i r="1" i="2">
      <x v="3"/>
    </i>
    <i t="grand">
      <x/>
    </i>
    <i t="grand" i="1">
      <x v="1"/>
    </i>
    <i t="grand" i="2">
      <x v="2"/>
    </i>
  </colItems>
  <pageFields count="1">
    <pageField fld="1" hier="2" name="[Disponibil].[Disponibil].[All]" cap="All"/>
  </pageFields>
  <dataFields count="3">
    <dataField name="Sum of Valoarea estimată  pentru 2020 lei fără TVA" fld="3" baseField="0" baseItem="0"/>
    <dataField name="Sum of Valoarea estimată  pentru 2020 lei fără TVA" fld="4" baseField="0" baseItem="0"/>
    <dataField name="Sum of Valoarea estimată  pentru 2020 lei fără TVA2" fld="5" baseField="2" baseItem="0"/>
  </dataFields>
  <formats count="1">
    <format dxfId="97">
      <pivotArea outline="0" collapsedLevelsAreSubtotals="1" fieldPosition="0"/>
    </format>
  </formats>
  <pivotHierarchies count="107">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el_PAAP2018].[Pus disponibil].&amp;[NU]"/>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Sum of Valoarea estimată  pentru 2020 lei fără TVA2"/>
  </pivotHierarchies>
  <pivotTableStyleInfo name="PivotStyleLight16" showRowHeaders="1" showColHeaders="1" showRowStripes="1" showColStripes="0" showLastColumn="1"/>
  <rowHierarchiesUsage count="1">
    <rowHierarchyUsage hierarchyUsage="0"/>
  </rowHierarchiesUsage>
  <colHierarchiesUsage count="2">
    <colHierarchyUsage hierarchyUsage="-2"/>
    <colHierarchyUsage hierarchyUsage="79"/>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abel_A8_AD]"/>
        <x15:activeTabTopLevelEntity name="[Tabel_A9_Ex_L98]"/>
        <x15:activeTabTopLevelEntity name="[Coduri_bugetare]"/>
        <x15:activeTabTopLevelEntity name="[Disponibil]"/>
        <x15:activeTabTopLevelEntity name="[Trimestrializar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rowHeaderCaption="Cod bugetar">
  <location ref="A5:D24" firstHeaderRow="0" firstDataRow="1" firstDataCol="1" rowPageCount="2" colPageCount="1"/>
  <pivotFields count="7">
    <pivotField allDrilled="1" subtotalTop="0" showAll="0" dataSourceSort="1" defaultAttributeDrillState="1"/>
    <pivotField axis="axisRow" allDrilled="1" subtotalTop="0" showAll="0" dataSourceSort="1" defaultAttributeDrillState="1">
      <items count="19">
        <item x="0"/>
        <item x="1"/>
        <item x="2"/>
        <item x="3"/>
        <item x="4"/>
        <item x="5"/>
        <item x="6"/>
        <item x="7"/>
        <item x="8"/>
        <item x="9"/>
        <item x="10"/>
        <item x="11"/>
        <item x="12"/>
        <item x="13"/>
        <item x="14"/>
        <item x="15"/>
        <item x="16"/>
        <item x="17"/>
        <item t="default"/>
      </items>
    </pivotField>
    <pivotField axis="axisPage" allDrilled="1" subtotalTop="0" showAll="0" dataSourceSort="1" defaultAttributeDrillState="1">
      <items count="1">
        <item t="default"/>
      </items>
    </pivotField>
    <pivotField axis="axisPage" allDrilled="1" showAll="0" dataSourceSort="1" defaultAttributeDrillState="1">
      <items count="1">
        <item t="default"/>
      </items>
    </pivotField>
    <pivotField dataField="1" showAll="0"/>
    <pivotField dataField="1" showAll="0"/>
    <pivotField dataField="1" showAll="0"/>
  </pivotFields>
  <rowFields count="1">
    <field x="1"/>
  </rowFields>
  <rowItems count="19">
    <i>
      <x/>
    </i>
    <i>
      <x v="1"/>
    </i>
    <i>
      <x v="2"/>
    </i>
    <i>
      <x v="3"/>
    </i>
    <i>
      <x v="4"/>
    </i>
    <i>
      <x v="5"/>
    </i>
    <i>
      <x v="6"/>
    </i>
    <i>
      <x v="7"/>
    </i>
    <i>
      <x v="8"/>
    </i>
    <i>
      <x v="9"/>
    </i>
    <i>
      <x v="10"/>
    </i>
    <i>
      <x v="11"/>
    </i>
    <i>
      <x v="12"/>
    </i>
    <i>
      <x v="13"/>
    </i>
    <i>
      <x v="14"/>
    </i>
    <i>
      <x v="15"/>
    </i>
    <i>
      <x v="16"/>
    </i>
    <i>
      <x v="17"/>
    </i>
    <i t="grand">
      <x/>
    </i>
  </rowItems>
  <colFields count="1">
    <field x="-2"/>
  </colFields>
  <colItems count="3">
    <i>
      <x/>
    </i>
    <i i="1">
      <x v="1"/>
    </i>
    <i i="2">
      <x v="2"/>
    </i>
  </colItems>
  <pageFields count="2">
    <pageField fld="2" hier="2" name="[Disponibil].[Disponibil].&amp;" cap="(blank)"/>
    <pageField fld="3" hier="3" name="[Investitii].[Investitii].[All]" cap="All"/>
  </pageFields>
  <dataFields count="3">
    <dataField name="Sum of Valoare estimata  - lei fără TVA -" fld="4" baseField="0" baseItem="0"/>
    <dataField name="Sum of Valoare estimata  - lei fără TVA -" fld="5" baseField="0" baseItem="0"/>
    <dataField name="Sum of Valoare estimata  - lei fără TVA -" fld="6" baseField="0" baseItem="0"/>
  </dataFields>
  <formats count="1">
    <format dxfId="96">
      <pivotArea outline="0" collapsedLevelsAreSubtotals="1" fieldPosition="0"/>
    </format>
  </formats>
  <pivotHierarchies count="107">
    <pivotHierarchy dragToData="1"/>
    <pivotHierarchy dragToData="1"/>
    <pivotHierarchy multipleItemSelectionAllowed="1" dragToData="1">
      <members count="2" level="1">
        <member name="[Disponibil].[Disponibil].&amp;"/>
        <member name="[Disponibil].[Disponibil].&amp;[NU]"/>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el_PAAP2018].[Pus disponibil].&amp;[NU]"/>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1"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abel_A8_AD]"/>
        <x15:activeTabTopLevelEntity name="[Tabel_A9_Ex_L98]"/>
        <x15:activeTabTopLevelEntity name="[Coduri_bugetare]"/>
        <x15:activeTabTopLevelEntity name="[Disponibil]"/>
        <x15:activeTabTopLevelEntity name="[Investitii]"/>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1" cacheId="0"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A3:AG17" firstHeaderRow="1" firstDataRow="3" firstDataCol="1" rowPageCount="1" colPageCount="1"/>
  <pivotFields count="7">
    <pivotField axis="axisCol" allDrilled="1" showAll="0" dataSourceSort="1" defaultAttributeDrillState="1">
      <items count="10">
        <item x="0"/>
        <item x="1"/>
        <item x="2"/>
        <item x="3"/>
        <item x="4"/>
        <item x="5"/>
        <item x="6"/>
        <item x="7"/>
        <item x="8"/>
        <item t="default"/>
      </items>
    </pivotField>
    <pivotField dataField="1" showAll="0"/>
    <pivotField dataField="1" showAll="0"/>
    <pivotField axis="axisRow" allDrilled="1" showAll="0" dataSourceSort="1" defaultAttributeDrillState="1">
      <items count="12">
        <item x="0"/>
        <item x="1"/>
        <item x="2"/>
        <item x="3"/>
        <item x="4"/>
        <item x="5"/>
        <item x="6"/>
        <item x="7"/>
        <item x="8"/>
        <item x="9"/>
        <item x="10"/>
        <item t="default"/>
      </items>
    </pivotField>
    <pivotField dataField="1" showAll="0"/>
    <pivotField axis="axisPage" allDrilled="1" showAll="0" dataSourceSort="1" defaultAttributeDrillState="1">
      <items count="1">
        <item t="default"/>
      </items>
    </pivotField>
    <pivotField dataField="1" showAll="0"/>
  </pivotFields>
  <rowFields count="1">
    <field x="3"/>
  </rowFields>
  <rowItems count="12">
    <i>
      <x/>
    </i>
    <i>
      <x v="1"/>
    </i>
    <i>
      <x v="2"/>
    </i>
    <i>
      <x v="3"/>
    </i>
    <i>
      <x v="4"/>
    </i>
    <i>
      <x v="5"/>
    </i>
    <i>
      <x v="6"/>
    </i>
    <i>
      <x v="7"/>
    </i>
    <i>
      <x v="8"/>
    </i>
    <i>
      <x v="9"/>
    </i>
    <i>
      <x v="10"/>
    </i>
    <i t="grand">
      <x/>
    </i>
  </rowItems>
  <colFields count="2">
    <field x="0"/>
    <field x="-2"/>
  </colFields>
  <colItems count="32">
    <i>
      <x/>
      <x/>
    </i>
    <i r="1" i="1">
      <x v="1"/>
    </i>
    <i r="1" i="2">
      <x v="2"/>
    </i>
    <i r="1" i="3">
      <x v="3"/>
    </i>
    <i>
      <x v="1"/>
      <x/>
    </i>
    <i r="1" i="1">
      <x v="1"/>
    </i>
    <i r="1" i="2">
      <x v="2"/>
    </i>
    <i r="1" i="3">
      <x v="3"/>
    </i>
    <i>
      <x v="2"/>
      <x/>
    </i>
    <i r="1" i="1">
      <x v="1"/>
    </i>
    <i r="1" i="2">
      <x v="2"/>
    </i>
    <i r="1" i="3">
      <x v="3"/>
    </i>
    <i>
      <x v="3"/>
      <x/>
    </i>
    <i r="1" i="1">
      <x v="1"/>
    </i>
    <i r="1" i="2">
      <x v="2"/>
    </i>
    <i r="1" i="3">
      <x v="3"/>
    </i>
    <i>
      <x v="4"/>
      <x/>
    </i>
    <i r="1" i="1">
      <x v="1"/>
    </i>
    <i r="1" i="2">
      <x v="2"/>
    </i>
    <i r="1" i="3">
      <x v="3"/>
    </i>
    <i>
      <x v="5"/>
      <x/>
    </i>
    <i r="1" i="1">
      <x v="1"/>
    </i>
    <i r="1" i="2">
      <x v="2"/>
    </i>
    <i r="1" i="3">
      <x v="3"/>
    </i>
    <i>
      <x v="6"/>
      <x/>
    </i>
    <i r="1" i="1">
      <x v="1"/>
    </i>
    <i r="1" i="2">
      <x v="2"/>
    </i>
    <i r="1" i="3">
      <x v="3"/>
    </i>
    <i t="grand">
      <x/>
    </i>
    <i t="grand" i="1">
      <x/>
    </i>
    <i t="grand" i="2">
      <x/>
    </i>
    <i t="grand" i="3">
      <x/>
    </i>
  </colItems>
  <pageFields count="1">
    <pageField fld="5" hier="5" name="[Status_lucrare].[Status].&amp;[În plan]" cap="În plan"/>
  </pageFields>
  <dataFields count="4">
    <dataField name="Count of Tip procedura" fld="4" subtotal="count" baseField="0" baseItem="0"/>
    <dataField name="Count of Tip AD" fld="2" subtotal="count" baseField="0" baseItem="0"/>
    <dataField name="Count of Tip procedura" fld="1" subtotal="count" baseField="0" baseItem="0"/>
    <dataField name="Count of Tip procedura" fld="6" subtotal="count" baseField="0" baseItem="0"/>
  </dataFields>
  <formats count="96">
    <format dxfId="95">
      <pivotArea dataOnly="0" labelOnly="1" outline="0" fieldPosition="0">
        <references count="2">
          <reference field="4294967294" count="1">
            <x v="2"/>
          </reference>
          <reference field="0" count="1" selected="0">
            <x v="0"/>
          </reference>
        </references>
      </pivotArea>
    </format>
    <format dxfId="94">
      <pivotArea dataOnly="0" labelOnly="1" outline="0" fieldPosition="0">
        <references count="2">
          <reference field="4294967294" count="1">
            <x v="2"/>
          </reference>
          <reference field="0" count="1" selected="0">
            <x v="0"/>
          </reference>
        </references>
      </pivotArea>
    </format>
    <format dxfId="93">
      <pivotArea dataOnly="0" labelOnly="1" outline="0" fieldPosition="0">
        <references count="2">
          <reference field="4294967294" count="1">
            <x v="2"/>
          </reference>
          <reference field="0" count="1" selected="0">
            <x v="0"/>
          </reference>
        </references>
      </pivotArea>
    </format>
    <format dxfId="92">
      <pivotArea dataOnly="0" labelOnly="1" outline="0" fieldPosition="0">
        <references count="2">
          <reference field="4294967294" count="1">
            <x v="2"/>
          </reference>
          <reference field="0" count="1" selected="0">
            <x v="1"/>
          </reference>
        </references>
      </pivotArea>
    </format>
    <format dxfId="91">
      <pivotArea dataOnly="0" labelOnly="1" outline="0" fieldPosition="0">
        <references count="2">
          <reference field="4294967294" count="1">
            <x v="2"/>
          </reference>
          <reference field="0" count="1" selected="0">
            <x v="8"/>
          </reference>
        </references>
      </pivotArea>
    </format>
    <format dxfId="90">
      <pivotArea dataOnly="0" labelOnly="1" outline="0" fieldPosition="0">
        <references count="2">
          <reference field="4294967294" count="1">
            <x v="2"/>
          </reference>
          <reference field="0" count="1" selected="0">
            <x v="3"/>
          </reference>
        </references>
      </pivotArea>
    </format>
    <format dxfId="89">
      <pivotArea dataOnly="0" labelOnly="1" outline="0" fieldPosition="0">
        <references count="2">
          <reference field="4294967294" count="1">
            <x v="2"/>
          </reference>
          <reference field="0" count="1" selected="0">
            <x v="3"/>
          </reference>
        </references>
      </pivotArea>
    </format>
    <format dxfId="88">
      <pivotArea dataOnly="0" labelOnly="1" outline="0" fieldPosition="0">
        <references count="2">
          <reference field="4294967294" count="1">
            <x v="2"/>
          </reference>
          <reference field="0" count="1" selected="0">
            <x v="5"/>
          </reference>
        </references>
      </pivotArea>
    </format>
    <format dxfId="87">
      <pivotArea dataOnly="0" labelOnly="1" outline="0" fieldPosition="0">
        <references count="2">
          <reference field="4294967294" count="1">
            <x v="2"/>
          </reference>
          <reference field="0" count="1" selected="0">
            <x v="6"/>
          </reference>
        </references>
      </pivotArea>
    </format>
    <format dxfId="86">
      <pivotArea dataOnly="0" labelOnly="1" outline="0" fieldPosition="0">
        <references count="2">
          <reference field="4294967294" count="2">
            <x v="1"/>
            <x v="2"/>
          </reference>
          <reference field="0" count="1" selected="0">
            <x v="0"/>
          </reference>
        </references>
      </pivotArea>
    </format>
    <format dxfId="85">
      <pivotArea dataOnly="0" labelOnly="1" outline="0" fieldPosition="0">
        <references count="2">
          <reference field="4294967294" count="2">
            <x v="1"/>
            <x v="2"/>
          </reference>
          <reference field="0" count="1" selected="0">
            <x v="1"/>
          </reference>
        </references>
      </pivotArea>
    </format>
    <format dxfId="84">
      <pivotArea dataOnly="0" labelOnly="1" outline="0" fieldPosition="0">
        <references count="2">
          <reference field="4294967294" count="2">
            <x v="1"/>
            <x v="2"/>
          </reference>
          <reference field="0" count="1" selected="0">
            <x v="8"/>
          </reference>
        </references>
      </pivotArea>
    </format>
    <format dxfId="83">
      <pivotArea dataOnly="0" labelOnly="1" outline="0" fieldPosition="0">
        <references count="2">
          <reference field="4294967294" count="2">
            <x v="1"/>
            <x v="2"/>
          </reference>
          <reference field="0" count="1" selected="0">
            <x v="3"/>
          </reference>
        </references>
      </pivotArea>
    </format>
    <format dxfId="82">
      <pivotArea dataOnly="0" labelOnly="1" outline="0" fieldPosition="0">
        <references count="2">
          <reference field="4294967294" count="2">
            <x v="1"/>
            <x v="2"/>
          </reference>
          <reference field="0" count="1" selected="0">
            <x v="5"/>
          </reference>
        </references>
      </pivotArea>
    </format>
    <format dxfId="81">
      <pivotArea dataOnly="0" labelOnly="1" outline="0" fieldPosition="0">
        <references count="2">
          <reference field="4294967294" count="2">
            <x v="1"/>
            <x v="2"/>
          </reference>
          <reference field="0" count="1" selected="0">
            <x v="6"/>
          </reference>
        </references>
      </pivotArea>
    </format>
    <format dxfId="80">
      <pivotArea dataOnly="0" labelOnly="1" outline="0" fieldPosition="0">
        <references count="2">
          <reference field="4294967294" count="2">
            <x v="1"/>
            <x v="2"/>
          </reference>
          <reference field="0" count="1" selected="0">
            <x v="7"/>
          </reference>
        </references>
      </pivotArea>
    </format>
    <format dxfId="79">
      <pivotArea dataOnly="0" labelOnly="1" outline="0" fieldPosition="0">
        <references count="2">
          <reference field="4294967294" count="2">
            <x v="1"/>
            <x v="2"/>
          </reference>
          <reference field="0" count="1" selected="0">
            <x v="0"/>
          </reference>
        </references>
      </pivotArea>
    </format>
    <format dxfId="78">
      <pivotArea dataOnly="0" labelOnly="1" outline="0" fieldPosition="0">
        <references count="2">
          <reference field="4294967294" count="2">
            <x v="1"/>
            <x v="2"/>
          </reference>
          <reference field="0" count="1" selected="0">
            <x v="1"/>
          </reference>
        </references>
      </pivotArea>
    </format>
    <format dxfId="77">
      <pivotArea dataOnly="0" labelOnly="1" outline="0" fieldPosition="0">
        <references count="2">
          <reference field="4294967294" count="2">
            <x v="1"/>
            <x v="2"/>
          </reference>
          <reference field="0" count="1" selected="0">
            <x v="8"/>
          </reference>
        </references>
      </pivotArea>
    </format>
    <format dxfId="76">
      <pivotArea dataOnly="0" labelOnly="1" outline="0" fieldPosition="0">
        <references count="2">
          <reference field="4294967294" count="2">
            <x v="1"/>
            <x v="2"/>
          </reference>
          <reference field="0" count="1" selected="0">
            <x v="3"/>
          </reference>
        </references>
      </pivotArea>
    </format>
    <format dxfId="75">
      <pivotArea dataOnly="0" labelOnly="1" outline="0" fieldPosition="0">
        <references count="2">
          <reference field="4294967294" count="2">
            <x v="1"/>
            <x v="2"/>
          </reference>
          <reference field="0" count="1" selected="0">
            <x v="5"/>
          </reference>
        </references>
      </pivotArea>
    </format>
    <format dxfId="74">
      <pivotArea dataOnly="0" labelOnly="1" outline="0" fieldPosition="0">
        <references count="2">
          <reference field="4294967294" count="2">
            <x v="1"/>
            <x v="2"/>
          </reference>
          <reference field="0" count="1" selected="0">
            <x v="6"/>
          </reference>
        </references>
      </pivotArea>
    </format>
    <format dxfId="73">
      <pivotArea dataOnly="0" labelOnly="1" outline="0" fieldPosition="0">
        <references count="2">
          <reference field="4294967294" count="2">
            <x v="1"/>
            <x v="2"/>
          </reference>
          <reference field="0" count="1" selected="0">
            <x v="7"/>
          </reference>
        </references>
      </pivotArea>
    </format>
    <format dxfId="72">
      <pivotArea field="0" dataOnly="0" labelOnly="1" grandCol="1" outline="0" axis="axisCol" fieldPosition="0">
        <references count="1">
          <reference field="4294967294" count="1" selected="0">
            <x v="2"/>
          </reference>
        </references>
      </pivotArea>
    </format>
    <format dxfId="71">
      <pivotArea field="0" dataOnly="0" labelOnly="1" grandCol="1" outline="0" axis="axisCol" fieldPosition="0">
        <references count="1">
          <reference field="4294967294" count="1" selected="0">
            <x v="1"/>
          </reference>
        </references>
      </pivotArea>
    </format>
    <format dxfId="70">
      <pivotArea field="0" dataOnly="0" labelOnly="1" grandCol="1" outline="0" axis="axisCol" fieldPosition="0">
        <references count="1">
          <reference field="4294967294" count="1" selected="0">
            <x v="2"/>
          </reference>
        </references>
      </pivotArea>
    </format>
    <format dxfId="69">
      <pivotArea field="0" dataOnly="0" labelOnly="1" grandCol="1" outline="0" axis="axisCol" fieldPosition="0">
        <references count="1">
          <reference field="4294967294" count="1" selected="0">
            <x v="1"/>
          </reference>
        </references>
      </pivotArea>
    </format>
    <format dxfId="68">
      <pivotArea field="0" dataOnly="0" labelOnly="1" grandCol="1" outline="0" axis="axisCol" fieldPosition="0">
        <references count="1">
          <reference field="4294967294" count="1" selected="0">
            <x v="2"/>
          </reference>
        </references>
      </pivotArea>
    </format>
    <format dxfId="67">
      <pivotArea field="0" dataOnly="0" labelOnly="1" grandCol="1" outline="0" axis="axisCol" fieldPosition="0">
        <references count="1">
          <reference field="4294967294" count="1" selected="0">
            <x v="1"/>
          </reference>
        </references>
      </pivotArea>
    </format>
    <format dxfId="66">
      <pivotArea field="0" dataOnly="0" labelOnly="1" grandCol="1" outline="0" axis="axisCol" fieldPosition="0">
        <references count="1">
          <reference field="4294967294" count="1" selected="0">
            <x v="0"/>
          </reference>
        </references>
      </pivotArea>
    </format>
    <format dxfId="65">
      <pivotArea field="0" dataOnly="0" labelOnly="1" grandCol="1" outline="0" axis="axisCol" fieldPosition="0">
        <references count="1">
          <reference field="4294967294" count="1" selected="0">
            <x v="1"/>
          </reference>
        </references>
      </pivotArea>
    </format>
    <format dxfId="64">
      <pivotArea field="0" dataOnly="0" labelOnly="1" grandCol="1" outline="0" axis="axisCol" fieldPosition="0">
        <references count="1">
          <reference field="4294967294" count="1" selected="0">
            <x v="2"/>
          </reference>
        </references>
      </pivotArea>
    </format>
    <format dxfId="63">
      <pivotArea dataOnly="0" labelOnly="1" outline="0" fieldPosition="0">
        <references count="2">
          <reference field="4294967294" count="1">
            <x v="0"/>
          </reference>
          <reference field="0" count="1" selected="0">
            <x v="0"/>
          </reference>
        </references>
      </pivotArea>
    </format>
    <format dxfId="62">
      <pivotArea dataOnly="0" labelOnly="1" outline="0" fieldPosition="0">
        <references count="2">
          <reference field="4294967294" count="1">
            <x v="0"/>
          </reference>
          <reference field="0" count="1" selected="0">
            <x v="0"/>
          </reference>
        </references>
      </pivotArea>
    </format>
    <format dxfId="61">
      <pivotArea dataOnly="0" labelOnly="1" outline="0" fieldPosition="0">
        <references count="2">
          <reference field="4294967294" count="1">
            <x v="0"/>
          </reference>
          <reference field="0" count="1" selected="0">
            <x v="0"/>
          </reference>
        </references>
      </pivotArea>
    </format>
    <format dxfId="60">
      <pivotArea dataOnly="0" labelOnly="1" outline="0" fieldPosition="0">
        <references count="2">
          <reference field="4294967294" count="1">
            <x v="0"/>
          </reference>
          <reference field="0" count="1" selected="0">
            <x v="1"/>
          </reference>
        </references>
      </pivotArea>
    </format>
    <format dxfId="59">
      <pivotArea dataOnly="0" labelOnly="1" outline="0" fieldPosition="0">
        <references count="2">
          <reference field="4294967294" count="1">
            <x v="0"/>
          </reference>
          <reference field="0" count="1" selected="0">
            <x v="8"/>
          </reference>
        </references>
      </pivotArea>
    </format>
    <format dxfId="58">
      <pivotArea dataOnly="0" labelOnly="1" outline="0" fieldPosition="0">
        <references count="2">
          <reference field="4294967294" count="1">
            <x v="0"/>
          </reference>
          <reference field="0" count="1" selected="0">
            <x v="3"/>
          </reference>
        </references>
      </pivotArea>
    </format>
    <format dxfId="57">
      <pivotArea dataOnly="0" labelOnly="1" outline="0" fieldPosition="0">
        <references count="2">
          <reference field="4294967294" count="1">
            <x v="0"/>
          </reference>
          <reference field="0" count="1" selected="0">
            <x v="6"/>
          </reference>
        </references>
      </pivotArea>
    </format>
    <format dxfId="56">
      <pivotArea dataOnly="0" labelOnly="1" outline="0" fieldPosition="0">
        <references count="2">
          <reference field="4294967294" count="1">
            <x v="0"/>
          </reference>
          <reference field="0" count="1" selected="0">
            <x v="5"/>
          </reference>
        </references>
      </pivotArea>
    </format>
    <format dxfId="55">
      <pivotArea dataOnly="0" labelOnly="1" outline="0" fieldPosition="0">
        <references count="2">
          <reference field="4294967294" count="1">
            <x v="0"/>
          </reference>
          <reference field="0" count="1" selected="0">
            <x v="8"/>
          </reference>
        </references>
      </pivotArea>
    </format>
    <format dxfId="54">
      <pivotArea dataOnly="0" labelOnly="1" outline="0" fieldPosition="0">
        <references count="2">
          <reference field="4294967294" count="1">
            <x v="0"/>
          </reference>
          <reference field="0" count="1" selected="0">
            <x v="8"/>
          </reference>
        </references>
      </pivotArea>
    </format>
    <format dxfId="53">
      <pivotArea outline="0" collapsedLevelsAreSubtotals="1" fieldPosition="0"/>
    </format>
    <format dxfId="52">
      <pivotArea dataOnly="0" labelOnly="1" fieldPosition="0">
        <references count="1">
          <reference field="0" count="6">
            <x v="0"/>
            <x v="1"/>
            <x v="3"/>
            <x v="5"/>
            <x v="6"/>
            <x v="8"/>
          </reference>
        </references>
      </pivotArea>
    </format>
    <format dxfId="51">
      <pivotArea field="0" dataOnly="0" labelOnly="1" grandCol="1" outline="0" axis="axisCol" fieldPosition="0">
        <references count="1">
          <reference field="4294967294" count="1" selected="0">
            <x v="0"/>
          </reference>
        </references>
      </pivotArea>
    </format>
    <format dxfId="50">
      <pivotArea field="0" dataOnly="0" labelOnly="1" grandCol="1" outline="0" axis="axisCol" fieldPosition="0">
        <references count="1">
          <reference field="4294967294" count="1" selected="0">
            <x v="1"/>
          </reference>
        </references>
      </pivotArea>
    </format>
    <format dxfId="49">
      <pivotArea field="0" dataOnly="0" labelOnly="1" grandCol="1" outline="0" axis="axisCol" fieldPosition="0">
        <references count="1">
          <reference field="4294967294" count="1" selected="0">
            <x v="2"/>
          </reference>
        </references>
      </pivotArea>
    </format>
    <format dxfId="48">
      <pivotArea field="0" dataOnly="0" labelOnly="1" grandCol="1" outline="0" axis="axisCol" fieldPosition="0">
        <references count="1">
          <reference field="4294967294" count="1" selected="0">
            <x v="0"/>
          </reference>
        </references>
      </pivotArea>
    </format>
    <format dxfId="47">
      <pivotArea field="0" dataOnly="0" labelOnly="1" grandCol="1" outline="0" axis="axisCol" fieldPosition="0">
        <references count="1">
          <reference field="4294967294" count="1" selected="0">
            <x v="1"/>
          </reference>
        </references>
      </pivotArea>
    </format>
    <format dxfId="46">
      <pivotArea field="0" dataOnly="0" labelOnly="1" grandCol="1" outline="0" axis="axisCol" fieldPosition="0">
        <references count="1">
          <reference field="4294967294" count="1" selected="0">
            <x v="2"/>
          </reference>
        </references>
      </pivotArea>
    </format>
    <format dxfId="45">
      <pivotArea field="0" dataOnly="0" labelOnly="1" grandCol="1" outline="0" axis="axisCol" fieldPosition="0">
        <references count="1">
          <reference field="4294967294" count="1" selected="0">
            <x v="0"/>
          </reference>
        </references>
      </pivotArea>
    </format>
    <format dxfId="44">
      <pivotArea field="0" dataOnly="0" labelOnly="1" grandCol="1" outline="0" axis="axisCol" fieldPosition="0">
        <references count="1">
          <reference field="4294967294" count="1" selected="0">
            <x v="1"/>
          </reference>
        </references>
      </pivotArea>
    </format>
    <format dxfId="43">
      <pivotArea field="0" dataOnly="0" labelOnly="1" grandCol="1" outline="0" axis="axisCol" fieldPosition="0">
        <references count="1">
          <reference field="4294967294" count="1" selected="0">
            <x v="2"/>
          </reference>
        </references>
      </pivotArea>
    </format>
    <format dxfId="42">
      <pivotArea dataOnly="0" labelOnly="1" outline="0" fieldPosition="0">
        <references count="2">
          <reference field="4294967294" count="3">
            <x v="0"/>
            <x v="1"/>
            <x v="2"/>
          </reference>
          <reference field="0" count="1" selected="0">
            <x v="0"/>
          </reference>
        </references>
      </pivotArea>
    </format>
    <format dxfId="41">
      <pivotArea dataOnly="0" labelOnly="1" outline="0" fieldPosition="0">
        <references count="2">
          <reference field="4294967294" count="3">
            <x v="0"/>
            <x v="1"/>
            <x v="2"/>
          </reference>
          <reference field="0" count="1" selected="0">
            <x v="1"/>
          </reference>
        </references>
      </pivotArea>
    </format>
    <format dxfId="40">
      <pivotArea dataOnly="0" labelOnly="1" outline="0" fieldPosition="0">
        <references count="2">
          <reference field="4294967294" count="3">
            <x v="0"/>
            <x v="1"/>
            <x v="2"/>
          </reference>
          <reference field="0" count="1" selected="0">
            <x v="8"/>
          </reference>
        </references>
      </pivotArea>
    </format>
    <format dxfId="39">
      <pivotArea dataOnly="0" labelOnly="1" outline="0" fieldPosition="0">
        <references count="2">
          <reference field="4294967294" count="3">
            <x v="0"/>
            <x v="1"/>
            <x v="2"/>
          </reference>
          <reference field="0" count="1" selected="0">
            <x v="3"/>
          </reference>
        </references>
      </pivotArea>
    </format>
    <format dxfId="38">
      <pivotArea dataOnly="0" labelOnly="1" outline="0" fieldPosition="0">
        <references count="2">
          <reference field="4294967294" count="3">
            <x v="0"/>
            <x v="1"/>
            <x v="2"/>
          </reference>
          <reference field="0" count="1" selected="0">
            <x v="5"/>
          </reference>
        </references>
      </pivotArea>
    </format>
    <format dxfId="37">
      <pivotArea dataOnly="0" labelOnly="1" outline="0" fieldPosition="0">
        <references count="2">
          <reference field="4294967294" count="3">
            <x v="0"/>
            <x v="1"/>
            <x v="2"/>
          </reference>
          <reference field="0" count="1" selected="0">
            <x v="6"/>
          </reference>
        </references>
      </pivotArea>
    </format>
    <format dxfId="36">
      <pivotArea dataOnly="0" labelOnly="1" fieldPosition="0">
        <references count="1">
          <reference field="0" count="1">
            <x v="0"/>
          </reference>
        </references>
      </pivotArea>
    </format>
    <format dxfId="35">
      <pivotArea dataOnly="0" labelOnly="1" fieldPosition="0">
        <references count="1">
          <reference field="0" count="1">
            <x v="0"/>
          </reference>
        </references>
      </pivotArea>
    </format>
    <format dxfId="34">
      <pivotArea dataOnly="0" labelOnly="1" fieldPosition="0">
        <references count="1">
          <reference field="0" count="1">
            <x v="1"/>
          </reference>
        </references>
      </pivotArea>
    </format>
    <format dxfId="33">
      <pivotArea dataOnly="0" labelOnly="1" fieldPosition="0">
        <references count="1">
          <reference field="0" count="1">
            <x v="1"/>
          </reference>
        </references>
      </pivotArea>
    </format>
    <format dxfId="32">
      <pivotArea dataOnly="0" labelOnly="1" fieldPosition="0">
        <references count="1">
          <reference field="0" count="1">
            <x v="3"/>
          </reference>
        </references>
      </pivotArea>
    </format>
    <format dxfId="31">
      <pivotArea dataOnly="0" labelOnly="1" fieldPosition="0">
        <references count="1">
          <reference field="0" count="1">
            <x v="3"/>
          </reference>
        </references>
      </pivotArea>
    </format>
    <format dxfId="30">
      <pivotArea dataOnly="0" labelOnly="1" fieldPosition="0">
        <references count="1">
          <reference field="0" count="1">
            <x v="5"/>
          </reference>
        </references>
      </pivotArea>
    </format>
    <format dxfId="29">
      <pivotArea dataOnly="0" labelOnly="1" fieldPosition="0">
        <references count="1">
          <reference field="0" count="1">
            <x v="5"/>
          </reference>
        </references>
      </pivotArea>
    </format>
    <format dxfId="28">
      <pivotArea outline="0" collapsedLevelsAreSubtotals="1" fieldPosition="0"/>
    </format>
    <format dxfId="27">
      <pivotArea dataOnly="0" labelOnly="1" fieldPosition="0">
        <references count="1">
          <reference field="0" count="0"/>
        </references>
      </pivotArea>
    </format>
    <format dxfId="26">
      <pivotArea field="0" dataOnly="0" labelOnly="1" grandCol="1" outline="0" axis="axisCol" fieldPosition="0">
        <references count="1">
          <reference field="4294967294" count="1" selected="0">
            <x v="0"/>
          </reference>
        </references>
      </pivotArea>
    </format>
    <format dxfId="25">
      <pivotArea field="0" dataOnly="0" labelOnly="1" grandCol="1" outline="0" axis="axisCol" fieldPosition="0">
        <references count="1">
          <reference field="4294967294" count="1" selected="0">
            <x v="1"/>
          </reference>
        </references>
      </pivotArea>
    </format>
    <format dxfId="24">
      <pivotArea field="0" dataOnly="0" labelOnly="1" grandCol="1" outline="0" axis="axisCol" fieldPosition="0">
        <references count="1">
          <reference field="4294967294" count="1" selected="0">
            <x v="2"/>
          </reference>
        </references>
      </pivotArea>
    </format>
    <format dxfId="23">
      <pivotArea field="0" dataOnly="0" labelOnly="1" grandCol="1" outline="0" axis="axisCol" fieldPosition="0">
        <references count="1">
          <reference field="4294967294" count="1" selected="0">
            <x v="3"/>
          </reference>
        </references>
      </pivotArea>
    </format>
    <format dxfId="22">
      <pivotArea field="0" dataOnly="0" labelOnly="1" grandCol="1" outline="0" axis="axisCol" fieldPosition="0">
        <references count="1">
          <reference field="4294967294" count="1" selected="0">
            <x v="0"/>
          </reference>
        </references>
      </pivotArea>
    </format>
    <format dxfId="21">
      <pivotArea field="0" dataOnly="0" labelOnly="1" grandCol="1" outline="0" axis="axisCol" fieldPosition="0">
        <references count="1">
          <reference field="4294967294" count="1" selected="0">
            <x v="1"/>
          </reference>
        </references>
      </pivotArea>
    </format>
    <format dxfId="20">
      <pivotArea field="0" dataOnly="0" labelOnly="1" grandCol="1" outline="0" axis="axisCol" fieldPosition="0">
        <references count="1">
          <reference field="4294967294" count="1" selected="0">
            <x v="2"/>
          </reference>
        </references>
      </pivotArea>
    </format>
    <format dxfId="19">
      <pivotArea field="0" dataOnly="0" labelOnly="1" grandCol="1" outline="0" axis="axisCol" fieldPosition="0">
        <references count="1">
          <reference field="4294967294" count="1" selected="0">
            <x v="3"/>
          </reference>
        </references>
      </pivotArea>
    </format>
    <format dxfId="18">
      <pivotArea field="0" dataOnly="0" labelOnly="1" grandCol="1" outline="0" axis="axisCol" fieldPosition="0">
        <references count="1">
          <reference field="4294967294" count="1" selected="0">
            <x v="0"/>
          </reference>
        </references>
      </pivotArea>
    </format>
    <format dxfId="17">
      <pivotArea field="0" dataOnly="0" labelOnly="1" grandCol="1" outline="0" axis="axisCol" fieldPosition="0">
        <references count="1">
          <reference field="4294967294" count="1" selected="0">
            <x v="1"/>
          </reference>
        </references>
      </pivotArea>
    </format>
    <format dxfId="16">
      <pivotArea field="0" dataOnly="0" labelOnly="1" grandCol="1" outline="0" axis="axisCol" fieldPosition="0">
        <references count="1">
          <reference field="4294967294" count="1" selected="0">
            <x v="2"/>
          </reference>
        </references>
      </pivotArea>
    </format>
    <format dxfId="15">
      <pivotArea field="0" dataOnly="0" labelOnly="1" grandCol="1" outline="0" axis="axisCol" fieldPosition="0">
        <references count="1">
          <reference field="4294967294" count="1" selected="0">
            <x v="3"/>
          </reference>
        </references>
      </pivotArea>
    </format>
    <format dxfId="14">
      <pivotArea field="0" dataOnly="0" labelOnly="1" grandCol="1" outline="0" axis="axisCol" fieldPosition="0">
        <references count="1">
          <reference field="4294967294" count="1" selected="0">
            <x v="0"/>
          </reference>
        </references>
      </pivotArea>
    </format>
    <format dxfId="13">
      <pivotArea field="0" dataOnly="0" labelOnly="1" grandCol="1" outline="0" axis="axisCol" fieldPosition="0">
        <references count="1">
          <reference field="4294967294" count="1" selected="0">
            <x v="1"/>
          </reference>
        </references>
      </pivotArea>
    </format>
    <format dxfId="12">
      <pivotArea field="0" dataOnly="0" labelOnly="1" grandCol="1" outline="0" axis="axisCol" fieldPosition="0">
        <references count="1">
          <reference field="4294967294" count="1" selected="0">
            <x v="2"/>
          </reference>
        </references>
      </pivotArea>
    </format>
    <format dxfId="11">
      <pivotArea field="0" dataOnly="0" labelOnly="1" grandCol="1" outline="0" axis="axisCol" fieldPosition="0">
        <references count="1">
          <reference field="4294967294" count="1" selected="0">
            <x v="3"/>
          </reference>
        </references>
      </pivotArea>
    </format>
    <format dxfId="10">
      <pivotArea dataOnly="0" labelOnly="1" outline="0" fieldPosition="0">
        <references count="2">
          <reference field="4294967294" count="4">
            <x v="0"/>
            <x v="1"/>
            <x v="2"/>
            <x v="3"/>
          </reference>
          <reference field="0" count="1" selected="0">
            <x v="0"/>
          </reference>
        </references>
      </pivotArea>
    </format>
    <format dxfId="9">
      <pivotArea dataOnly="0" labelOnly="1" outline="0" fieldPosition="0">
        <references count="2">
          <reference field="4294967294" count="4">
            <x v="0"/>
            <x v="1"/>
            <x v="2"/>
            <x v="3"/>
          </reference>
          <reference field="0" count="1" selected="0">
            <x v="1"/>
          </reference>
        </references>
      </pivotArea>
    </format>
    <format dxfId="8">
      <pivotArea dataOnly="0" labelOnly="1" outline="0" fieldPosition="0">
        <references count="2">
          <reference field="4294967294" count="4">
            <x v="0"/>
            <x v="1"/>
            <x v="2"/>
            <x v="3"/>
          </reference>
          <reference field="0" count="1" selected="0">
            <x v="8"/>
          </reference>
        </references>
      </pivotArea>
    </format>
    <format dxfId="7">
      <pivotArea dataOnly="0" labelOnly="1" outline="0" fieldPosition="0">
        <references count="2">
          <reference field="4294967294" count="4">
            <x v="0"/>
            <x v="1"/>
            <x v="2"/>
            <x v="3"/>
          </reference>
          <reference field="0" count="1" selected="0">
            <x v="3"/>
          </reference>
        </references>
      </pivotArea>
    </format>
    <format dxfId="6">
      <pivotArea dataOnly="0" labelOnly="1" outline="0" fieldPosition="0">
        <references count="2">
          <reference field="4294967294" count="4">
            <x v="0"/>
            <x v="1"/>
            <x v="2"/>
            <x v="3"/>
          </reference>
          <reference field="0" count="1" selected="0">
            <x v="5"/>
          </reference>
        </references>
      </pivotArea>
    </format>
    <format dxfId="5">
      <pivotArea dataOnly="0" labelOnly="1" outline="0" fieldPosition="0">
        <references count="2">
          <reference field="4294967294" count="4">
            <x v="0"/>
            <x v="1"/>
            <x v="2"/>
            <x v="3"/>
          </reference>
          <reference field="0" count="1" selected="0">
            <x v="6"/>
          </reference>
        </references>
      </pivotArea>
    </format>
    <format dxfId="4">
      <pivotArea dataOnly="0" labelOnly="1" outline="0" fieldPosition="0">
        <references count="2">
          <reference field="4294967294" count="4">
            <x v="0"/>
            <x v="1"/>
            <x v="2"/>
            <x v="3"/>
          </reference>
          <reference field="0" count="1" selected="0">
            <x v="7"/>
          </reference>
        </references>
      </pivotArea>
    </format>
    <format dxfId="3">
      <pivotArea field="0" dataOnly="0" labelOnly="1" grandCol="1" outline="0" offset="IV1" axis="axisCol" fieldPosition="0">
        <references count="1">
          <reference field="4294967294" count="1" selected="0">
            <x v="0"/>
          </reference>
        </references>
      </pivotArea>
    </format>
    <format dxfId="2">
      <pivotArea field="0" dataOnly="0" labelOnly="1" grandCol="1" outline="0" offset="IV1" axis="axisCol" fieldPosition="0">
        <references count="1">
          <reference field="4294967294" count="1" selected="0">
            <x v="1"/>
          </reference>
        </references>
      </pivotArea>
    </format>
    <format dxfId="1">
      <pivotArea field="0" dataOnly="0" labelOnly="1" grandCol="1" outline="0" offset="IV1" axis="axisCol" fieldPosition="0">
        <references count="1">
          <reference field="4294967294" count="1" selected="0">
            <x v="2"/>
          </reference>
        </references>
      </pivotArea>
    </format>
    <format dxfId="0">
      <pivotArea field="0" dataOnly="0" labelOnly="1" grandCol="1" outline="0" offset="IV1" axis="axisCol" fieldPosition="0">
        <references count="1">
          <reference field="4294967294" count="1" selected="0">
            <x v="3"/>
          </reference>
        </references>
      </pivotArea>
    </format>
  </formats>
  <pivotHierarchies count="107">
    <pivotHierarchy dragToData="1"/>
    <pivotHierarchy dragToData="1"/>
    <pivotHierarchy dragToData="1"/>
    <pivotHierarchy dragToData="1"/>
    <pivotHierarchy dragToData="1"/>
    <pivotHierarchy multipleItemSelectionAllowed="1" dragToData="1">
      <members count="1" level="1">
        <member name="[Status_lucrare].[Status].&amp;[În plan]"/>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4"/>
  </rowHierarchiesUsage>
  <colHierarchiesUsage count="2">
    <colHierarchyUsage hierarchyUsage="78"/>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ipul_Procedurii]"/>
        <x15:activeTabTopLevelEntity name="[Tabel_A9_Ex_L98]"/>
        <x15:activeTabTopLevelEntity name="[Tabel_A8_AD]"/>
        <x15:activeTabTopLevelEntity name="[Responsabil_achizitie]"/>
        <x15:activeTabTopLevelEntity name="[Status_lucrare]"/>
        <x15:activeTabTopLevelEntity name="[Tabel_Proiecte]"/>
      </x15:pivotTableUISettings>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AAP" displayName="PAAP" ref="A5:R23" totalsRowShown="0" headerRowDxfId="166" dataDxfId="165" totalsRowDxfId="163" tableBorderDxfId="164">
  <autoFilter ref="A5:R23" xr:uid="{9EAA4438-3755-4BC4-BDC9-3B0326017B2D}"/>
  <tableColumns count="18">
    <tableColumn id="1" xr3:uid="{00000000-0010-0000-0000-000001000000}" name="Nr. crt." dataDxfId="162" totalsRowDxfId="161"/>
    <tableColumn id="2" xr3:uid="{00000000-0010-0000-0000-000002000000}" name="Obiectul contractului" dataDxfId="160" totalsRowDxfId="159"/>
    <tableColumn id="3" xr3:uid="{00000000-0010-0000-0000-000003000000}" name="CPV Principal" dataDxfId="158"/>
    <tableColumn id="4" xr3:uid="{00000000-0010-0000-0000-000004000000}" name="Valoare estimată _x000a_- lei fără TVA -" dataDxfId="157"/>
    <tableColumn id="5" xr3:uid="{00000000-0010-0000-0000-000005000000}" name="Valoare planificată cu TVA - 2023" dataDxfId="156"/>
    <tableColumn id="6" xr3:uid="{00000000-0010-0000-0000-000006000000}" name="Data inceperii" dataDxfId="155"/>
    <tableColumn id="7" xr3:uid="{00000000-0010-0000-0000-000007000000}" name="Data finalizarii" dataDxfId="154"/>
    <tableColumn id="8" xr3:uid="{00000000-0010-0000-0000-000008000000}" name="Tip procedura" dataDxfId="153"/>
    <tableColumn id="15" xr3:uid="{00000000-0010-0000-0000-00000F000000}" name="Modalitate derulare" dataDxfId="152"/>
    <tableColumn id="10" xr3:uid="{00000000-0010-0000-0000-00000A000000}" name="Stare" dataDxfId="151"/>
    <tableColumn id="12" xr3:uid="{00000000-0010-0000-0000-00000C000000}" name="Trimestru" dataDxfId="150" totalsRowDxfId="149"/>
    <tableColumn id="13" xr3:uid="{00000000-0010-0000-0000-00000D000000}" name="Pus disponibil" dataDxfId="148" totalsRowDxfId="147"/>
    <tableColumn id="14" xr3:uid="{00000000-0010-0000-0000-00000E000000}" name="Articol Bugetar" dataDxfId="146" totalsRowDxfId="145"/>
    <tableColumn id="16" xr3:uid="{00000000-0010-0000-0000-000010000000}" name="Prioritate" dataDxfId="144" totalsRowDxfId="143"/>
    <tableColumn id="17" xr3:uid="{00000000-0010-0000-0000-000011000000}" name="Departament solicitant" dataDxfId="142" totalsRowDxfId="141"/>
    <tableColumn id="21" xr3:uid="{4F64EBB6-0208-465C-B7E2-EF6B3B1430C0}" name="Tip ctr" dataDxfId="140" totalsRowDxfId="139"/>
    <tableColumn id="20" xr3:uid="{96587994-A51C-4E95-94FB-5326BC37B0A3}" name="Program multianual 1950" dataDxfId="138" totalsRowDxfId="137"/>
    <tableColumn id="19" xr3:uid="{00000000-0010-0000-0000-000013000000}" name="Procent VA/VEA" dataDxfId="136" totalsRowDxfId="13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el_Proiecte" displayName="Tabel_Proiecte" ref="A8:Q50" totalsRowShown="0" headerRowDxfId="134" totalsRowDxfId="132" tableBorderDxfId="133">
  <autoFilter ref="A8:Q50" xr:uid="{00000000-0009-0000-0100-00000C000000}"/>
  <tableColumns count="17">
    <tableColumn id="1" xr3:uid="{00000000-0010-0000-0300-000001000000}" name="Nr. crt." dataDxfId="131" totalsRowDxfId="130"/>
    <tableColumn id="2" xr3:uid="{00000000-0010-0000-0300-000002000000}" name="Obiectul contractului" dataDxfId="129" totalsRowDxfId="128"/>
    <tableColumn id="3" xr3:uid="{00000000-0010-0000-0300-000003000000}" name="CPV Principal" dataDxfId="127" totalsRowDxfId="126"/>
    <tableColumn id="4" xr3:uid="{00000000-0010-0000-0300-000004000000}" name="Valoare estimata _x000a_- lei fără TVA -" dataDxfId="125" totalsRowDxfId="124"/>
    <tableColumn id="5" xr3:uid="{00000000-0010-0000-0300-000005000000}" name="Valoarea estimată  pentru 2021 lei fără TVA " dataDxfId="123" totalsRowDxfId="122"/>
    <tableColumn id="16" xr3:uid="{00000000-0010-0000-0300-000010000000}" name="Valoare atribuita" dataDxfId="121" totalsRowDxfId="120"/>
    <tableColumn id="6" xr3:uid="{00000000-0010-0000-0300-000006000000}" name="Data inceperii" dataDxfId="119" totalsRowDxfId="118"/>
    <tableColumn id="7" xr3:uid="{00000000-0010-0000-0300-000007000000}" name="Data finalizarii" dataDxfId="117" totalsRowDxfId="116"/>
    <tableColumn id="8" xr3:uid="{00000000-0010-0000-0300-000008000000}" name="Tip procedura" dataDxfId="115" totalsRowDxfId="114"/>
    <tableColumn id="15" xr3:uid="{00000000-0010-0000-0300-00000F000000}" name="Modalitate derulare" dataDxfId="113" totalsRowDxfId="112"/>
    <tableColumn id="9" xr3:uid="{00000000-0010-0000-0300-000009000000}" name="Responsabil" dataDxfId="111" totalsRowDxfId="110"/>
    <tableColumn id="10" xr3:uid="{00000000-0010-0000-0300-00000A000000}" name="Stare" dataDxfId="109" totalsRowDxfId="108"/>
    <tableColumn id="11" xr3:uid="{00000000-0010-0000-0300-00000B000000}" name="Observații" dataDxfId="107" totalsRowDxfId="106"/>
    <tableColumn id="12" xr3:uid="{00000000-0010-0000-0300-00000C000000}" name="Lista de investitii" dataDxfId="105" totalsRowDxfId="104"/>
    <tableColumn id="13" xr3:uid="{00000000-0010-0000-0300-00000D000000}" name="Pus disponibil" dataDxfId="103" totalsRowDxfId="102"/>
    <tableColumn id="14" xr3:uid="{00000000-0010-0000-0300-00000E000000}" name="Articol Bugetar" dataDxfId="101" totalsRowDxfId="100"/>
    <tableColumn id="17" xr3:uid="{00000000-0010-0000-0300-000011000000}" name="Proiect" dataDxfId="99" totalsRowDxfId="9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0"/>
  <sheetViews>
    <sheetView tabSelected="1" view="pageBreakPreview" zoomScale="55" zoomScaleNormal="40" zoomScaleSheetLayoutView="55" zoomScalePageLayoutView="60" workbookViewId="0">
      <pane xSplit="2" ySplit="5" topLeftCell="C6" activePane="bottomRight" state="frozen"/>
      <selection pane="topRight" activeCell="C1" sqref="C1"/>
      <selection pane="bottomLeft" activeCell="A10" sqref="A10"/>
      <selection pane="bottomRight" activeCell="E13" sqref="E13"/>
    </sheetView>
  </sheetViews>
  <sheetFormatPr defaultColWidth="9.140625" defaultRowHeight="15" x14ac:dyDescent="0.25"/>
  <cols>
    <col min="1" max="1" width="37.7109375" style="14" customWidth="1"/>
    <col min="2" max="2" width="122.7109375" style="14" customWidth="1"/>
    <col min="3" max="3" width="33" style="14" customWidth="1"/>
    <col min="4" max="4" width="41.85546875" style="14" customWidth="1"/>
    <col min="5" max="5" width="51.7109375" style="14" customWidth="1"/>
    <col min="6" max="6" width="36.5703125" style="14" customWidth="1"/>
    <col min="7" max="7" width="34.140625" style="14" customWidth="1"/>
    <col min="8" max="8" width="56.42578125" style="14" customWidth="1"/>
    <col min="9" max="9" width="29.28515625" style="14" customWidth="1"/>
    <col min="10" max="10" width="47.7109375" style="14" customWidth="1"/>
    <col min="11" max="11" width="17.7109375" style="14" hidden="1" customWidth="1"/>
    <col min="12" max="12" width="19" style="14" hidden="1" customWidth="1"/>
    <col min="13" max="13" width="23" style="14" hidden="1" customWidth="1"/>
    <col min="14" max="14" width="20.42578125" style="14" hidden="1" customWidth="1"/>
    <col min="15" max="17" width="29.42578125" style="14" hidden="1" customWidth="1"/>
    <col min="18" max="18" width="18.28515625" style="14" hidden="1" customWidth="1"/>
    <col min="19" max="16384" width="9.140625" style="14"/>
  </cols>
  <sheetData>
    <row r="1" spans="1:18" s="142" customFormat="1" ht="54" customHeight="1" x14ac:dyDescent="0.7">
      <c r="B1" s="143"/>
      <c r="C1" s="182"/>
      <c r="D1" s="182"/>
      <c r="E1" s="183"/>
      <c r="H1" s="145"/>
      <c r="I1" s="145"/>
      <c r="J1" s="145"/>
    </row>
    <row r="2" spans="1:18" s="142" customFormat="1" ht="91.15" customHeight="1" x14ac:dyDescent="0.45">
      <c r="A2" s="194" t="s">
        <v>252</v>
      </c>
      <c r="B2" s="194"/>
      <c r="C2" s="194"/>
      <c r="D2" s="194"/>
      <c r="E2" s="194"/>
      <c r="F2" s="194"/>
      <c r="G2" s="194"/>
      <c r="H2" s="194"/>
      <c r="I2" s="194"/>
      <c r="J2" s="194"/>
    </row>
    <row r="3" spans="1:18" s="142" customFormat="1" ht="169.5" customHeight="1" x14ac:dyDescent="0.45">
      <c r="A3" s="195" t="s">
        <v>271</v>
      </c>
      <c r="B3" s="195"/>
      <c r="C3" s="195"/>
      <c r="D3" s="195"/>
      <c r="E3" s="195"/>
      <c r="F3" s="195"/>
      <c r="G3" s="195"/>
      <c r="H3" s="195"/>
      <c r="I3" s="195"/>
      <c r="J3" s="195"/>
    </row>
    <row r="4" spans="1:18" ht="42" customHeight="1" x14ac:dyDescent="0.25"/>
    <row r="5" spans="1:18" s="149" customFormat="1" ht="135" x14ac:dyDescent="0.5">
      <c r="A5" s="158" t="s">
        <v>0</v>
      </c>
      <c r="B5" s="159" t="s">
        <v>1</v>
      </c>
      <c r="C5" s="159" t="s">
        <v>2</v>
      </c>
      <c r="D5" s="159" t="s">
        <v>228</v>
      </c>
      <c r="E5" s="159" t="s">
        <v>248</v>
      </c>
      <c r="F5" s="159" t="s">
        <v>4</v>
      </c>
      <c r="G5" s="159" t="s">
        <v>5</v>
      </c>
      <c r="H5" s="159" t="s">
        <v>6</v>
      </c>
      <c r="I5" s="159" t="s">
        <v>64</v>
      </c>
      <c r="J5" s="159" t="s">
        <v>8</v>
      </c>
      <c r="K5" s="160" t="s">
        <v>211</v>
      </c>
      <c r="L5" s="160" t="s">
        <v>11</v>
      </c>
      <c r="M5" s="160" t="s">
        <v>12</v>
      </c>
      <c r="N5" s="161" t="s">
        <v>93</v>
      </c>
      <c r="O5" s="161" t="s">
        <v>94</v>
      </c>
      <c r="P5" s="161" t="s">
        <v>224</v>
      </c>
      <c r="Q5" s="161" t="s">
        <v>226</v>
      </c>
      <c r="R5" s="161" t="s">
        <v>219</v>
      </c>
    </row>
    <row r="6" spans="1:18" ht="92.25" x14ac:dyDescent="0.25">
      <c r="A6" s="165" t="s">
        <v>258</v>
      </c>
      <c r="B6" s="166" t="s">
        <v>243</v>
      </c>
      <c r="C6" s="165" t="s">
        <v>244</v>
      </c>
      <c r="D6" s="167">
        <v>330400</v>
      </c>
      <c r="E6" s="168">
        <f>PAAP[[#This Row],[Valoare estimată 
- lei fără TVA -]]*1.19</f>
        <v>393176</v>
      </c>
      <c r="F6" s="169">
        <v>45019</v>
      </c>
      <c r="G6" s="169">
        <v>45072</v>
      </c>
      <c r="H6" s="165" t="s">
        <v>229</v>
      </c>
      <c r="I6" s="165" t="s">
        <v>230</v>
      </c>
      <c r="J6" s="165" t="s">
        <v>270</v>
      </c>
      <c r="K6" s="190"/>
      <c r="L6" s="191"/>
      <c r="M6" s="192"/>
      <c r="N6" s="191"/>
      <c r="O6" s="191"/>
      <c r="P6" s="193"/>
      <c r="Q6" s="193"/>
      <c r="R6" s="152"/>
    </row>
    <row r="7" spans="1:18" ht="92.25" x14ac:dyDescent="0.25">
      <c r="A7" s="165" t="s">
        <v>234</v>
      </c>
      <c r="B7" s="166" t="s">
        <v>238</v>
      </c>
      <c r="C7" s="165" t="s">
        <v>233</v>
      </c>
      <c r="D7" s="167">
        <v>2946800</v>
      </c>
      <c r="E7" s="168">
        <f>PAAP[[#This Row],[Valoare estimată 
- lei fără TVA -]]*1.19</f>
        <v>3506692</v>
      </c>
      <c r="F7" s="169">
        <v>45200</v>
      </c>
      <c r="G7" s="169">
        <v>45351</v>
      </c>
      <c r="H7" s="165" t="s">
        <v>231</v>
      </c>
      <c r="I7" s="165" t="s">
        <v>230</v>
      </c>
      <c r="J7" s="165" t="s">
        <v>304</v>
      </c>
      <c r="K7" s="147" t="s">
        <v>212</v>
      </c>
      <c r="L7" s="147" t="s">
        <v>15</v>
      </c>
      <c r="M7" s="155" t="s">
        <v>25</v>
      </c>
      <c r="N7" s="147" t="s">
        <v>95</v>
      </c>
      <c r="O7" s="147" t="s">
        <v>98</v>
      </c>
      <c r="P7" s="147" t="s">
        <v>225</v>
      </c>
      <c r="Q7" s="147" t="s">
        <v>22</v>
      </c>
      <c r="R7" s="152"/>
    </row>
    <row r="8" spans="1:18" ht="33.75" x14ac:dyDescent="0.25">
      <c r="A8" s="174" t="s">
        <v>235</v>
      </c>
      <c r="B8" s="175" t="s">
        <v>239</v>
      </c>
      <c r="C8" s="174" t="s">
        <v>232</v>
      </c>
      <c r="D8" s="176">
        <v>1802880</v>
      </c>
      <c r="E8" s="173">
        <f>PAAP[[#This Row],[Valoare estimată 
- lei fără TVA -]]*1.19</f>
        <v>2145427.1999999997</v>
      </c>
      <c r="F8" s="184">
        <v>45089</v>
      </c>
      <c r="G8" s="184">
        <v>45203</v>
      </c>
      <c r="H8" s="174" t="s">
        <v>231</v>
      </c>
      <c r="I8" s="174" t="s">
        <v>230</v>
      </c>
      <c r="J8" s="174" t="s">
        <v>257</v>
      </c>
      <c r="K8" s="147" t="s">
        <v>212</v>
      </c>
      <c r="L8" s="147" t="s">
        <v>22</v>
      </c>
      <c r="M8" s="155" t="s">
        <v>16</v>
      </c>
      <c r="N8" s="147" t="s">
        <v>96</v>
      </c>
      <c r="O8" s="147" t="s">
        <v>98</v>
      </c>
      <c r="P8" s="147" t="s">
        <v>227</v>
      </c>
      <c r="Q8" s="147" t="s">
        <v>15</v>
      </c>
      <c r="R8" s="152"/>
    </row>
    <row r="9" spans="1:18" ht="92.25" x14ac:dyDescent="0.25">
      <c r="A9" s="165" t="s">
        <v>236</v>
      </c>
      <c r="B9" s="166" t="s">
        <v>272</v>
      </c>
      <c r="C9" s="165" t="s">
        <v>241</v>
      </c>
      <c r="D9" s="167">
        <v>353456</v>
      </c>
      <c r="E9" s="168">
        <f>PAAP[[#This Row],[Valoare estimată 
- lei fără TVA -]]*1.19</f>
        <v>420612.63999999996</v>
      </c>
      <c r="F9" s="169">
        <v>45200</v>
      </c>
      <c r="G9" s="169">
        <v>45351</v>
      </c>
      <c r="H9" s="165" t="s">
        <v>229</v>
      </c>
      <c r="I9" s="165" t="s">
        <v>230</v>
      </c>
      <c r="J9" s="165" t="s">
        <v>304</v>
      </c>
      <c r="K9" s="147" t="s">
        <v>212</v>
      </c>
      <c r="L9" s="147" t="s">
        <v>22</v>
      </c>
      <c r="M9" s="155" t="s">
        <v>17</v>
      </c>
      <c r="N9" s="147" t="s">
        <v>96</v>
      </c>
      <c r="O9" s="147" t="s">
        <v>98</v>
      </c>
      <c r="P9" s="147" t="s">
        <v>225</v>
      </c>
      <c r="Q9" s="147" t="s">
        <v>22</v>
      </c>
      <c r="R9" s="152"/>
    </row>
    <row r="10" spans="1:18" ht="61.5" x14ac:dyDescent="0.25">
      <c r="A10" s="165" t="s">
        <v>247</v>
      </c>
      <c r="B10" s="166" t="s">
        <v>245</v>
      </c>
      <c r="C10" s="165" t="s">
        <v>246</v>
      </c>
      <c r="D10" s="167">
        <v>5060016</v>
      </c>
      <c r="E10" s="168">
        <f>PAAP[[#This Row],[Valoare estimată 
- lei fără TVA -]]*1.19</f>
        <v>6021419.04</v>
      </c>
      <c r="F10" s="169">
        <v>45200</v>
      </c>
      <c r="G10" s="169">
        <v>45351</v>
      </c>
      <c r="H10" s="165" t="s">
        <v>231</v>
      </c>
      <c r="I10" s="165" t="s">
        <v>230</v>
      </c>
      <c r="J10" s="165" t="s">
        <v>256</v>
      </c>
      <c r="K10" s="147"/>
      <c r="L10" s="147"/>
      <c r="M10" s="155"/>
      <c r="N10" s="147"/>
      <c r="O10" s="147"/>
      <c r="P10" s="146"/>
      <c r="Q10" s="146"/>
      <c r="R10" s="152"/>
    </row>
    <row r="11" spans="1:18" ht="61.5" x14ac:dyDescent="0.25">
      <c r="A11" s="165" t="s">
        <v>237</v>
      </c>
      <c r="B11" s="166" t="s">
        <v>240</v>
      </c>
      <c r="C11" s="165" t="s">
        <v>242</v>
      </c>
      <c r="D11" s="167">
        <v>1090800</v>
      </c>
      <c r="E11" s="173">
        <f>PAAP[[#This Row],[Valoare estimată 
- lei fără TVA -]]*1.19</f>
        <v>1298052</v>
      </c>
      <c r="F11" s="169">
        <v>45047</v>
      </c>
      <c r="G11" s="169">
        <v>45231</v>
      </c>
      <c r="H11" s="165" t="s">
        <v>231</v>
      </c>
      <c r="I11" s="165" t="s">
        <v>230</v>
      </c>
      <c r="J11" s="165" t="s">
        <v>256</v>
      </c>
      <c r="K11" s="147" t="s">
        <v>212</v>
      </c>
      <c r="L11" s="147" t="s">
        <v>15</v>
      </c>
      <c r="M11" s="155" t="s">
        <v>32</v>
      </c>
      <c r="N11" s="147" t="s">
        <v>95</v>
      </c>
      <c r="O11" s="147" t="s">
        <v>98</v>
      </c>
      <c r="P11" s="147" t="s">
        <v>225</v>
      </c>
      <c r="Q11" s="147" t="s">
        <v>22</v>
      </c>
      <c r="R11" s="152"/>
    </row>
    <row r="12" spans="1:18" s="43" customFormat="1" ht="122.25" customHeight="1" x14ac:dyDescent="0.3">
      <c r="A12" s="165" t="s">
        <v>249</v>
      </c>
      <c r="B12" s="166" t="s">
        <v>250</v>
      </c>
      <c r="C12" s="165" t="s">
        <v>251</v>
      </c>
      <c r="D12" s="167">
        <v>1905120</v>
      </c>
      <c r="E12" s="168">
        <f>PAAP[[#This Row],[Valoare estimată 
- lei fără TVA -]]*1.19</f>
        <v>2267092.7999999998</v>
      </c>
      <c r="F12" s="169">
        <v>44998</v>
      </c>
      <c r="G12" s="169">
        <v>45091</v>
      </c>
      <c r="H12" s="165" t="s">
        <v>231</v>
      </c>
      <c r="I12" s="165" t="s">
        <v>230</v>
      </c>
      <c r="J12" s="165" t="s">
        <v>256</v>
      </c>
      <c r="K12" s="147" t="s">
        <v>212</v>
      </c>
      <c r="L12" s="147" t="s">
        <v>22</v>
      </c>
      <c r="M12" s="155" t="s">
        <v>23</v>
      </c>
      <c r="N12" s="147" t="s">
        <v>97</v>
      </c>
      <c r="O12" s="147" t="s">
        <v>99</v>
      </c>
      <c r="P12" s="147" t="s">
        <v>225</v>
      </c>
      <c r="Q12" s="147" t="s">
        <v>22</v>
      </c>
      <c r="R12" s="152"/>
    </row>
    <row r="13" spans="1:18" s="43" customFormat="1" ht="61.5" x14ac:dyDescent="0.3">
      <c r="A13" s="170" t="s">
        <v>253</v>
      </c>
      <c r="B13" s="171" t="s">
        <v>254</v>
      </c>
      <c r="C13" s="170" t="s">
        <v>255</v>
      </c>
      <c r="D13" s="172">
        <v>1020500</v>
      </c>
      <c r="E13" s="168">
        <f>PAAP[[#This Row],[Valoare estimată 
- lei fără TVA -]]*1.19</f>
        <v>1214395</v>
      </c>
      <c r="F13" s="181">
        <v>45001</v>
      </c>
      <c r="G13" s="181">
        <v>45069</v>
      </c>
      <c r="H13" s="170" t="s">
        <v>231</v>
      </c>
      <c r="I13" s="170" t="s">
        <v>230</v>
      </c>
      <c r="J13" s="165" t="s">
        <v>256</v>
      </c>
      <c r="K13" s="147" t="s">
        <v>212</v>
      </c>
      <c r="L13" s="147" t="s">
        <v>22</v>
      </c>
      <c r="M13" s="155" t="s">
        <v>23</v>
      </c>
      <c r="N13" s="147" t="s">
        <v>96</v>
      </c>
      <c r="O13" s="147" t="s">
        <v>99</v>
      </c>
      <c r="P13" s="147" t="s">
        <v>225</v>
      </c>
      <c r="Q13" s="147" t="s">
        <v>22</v>
      </c>
      <c r="R13" s="152"/>
    </row>
    <row r="14" spans="1:18" s="43" customFormat="1" ht="123" x14ac:dyDescent="0.5">
      <c r="A14" s="177" t="s">
        <v>259</v>
      </c>
      <c r="B14" s="178" t="s">
        <v>260</v>
      </c>
      <c r="C14" s="177" t="s">
        <v>261</v>
      </c>
      <c r="D14" s="179">
        <v>36266050</v>
      </c>
      <c r="E14" s="173">
        <f>PAAP[[#This Row],[Valoare estimată 
- lei fără TVA -]]*1.19</f>
        <v>43156599.5</v>
      </c>
      <c r="F14" s="180">
        <v>45085</v>
      </c>
      <c r="G14" s="180">
        <v>45212</v>
      </c>
      <c r="H14" s="177" t="s">
        <v>231</v>
      </c>
      <c r="I14" s="177" t="s">
        <v>230</v>
      </c>
      <c r="J14" s="165" t="s">
        <v>295</v>
      </c>
      <c r="K14" s="147" t="s">
        <v>213</v>
      </c>
      <c r="L14" s="153" t="s">
        <v>22</v>
      </c>
      <c r="M14" s="156" t="s">
        <v>28</v>
      </c>
      <c r="N14" s="147" t="s">
        <v>97</v>
      </c>
      <c r="O14" s="146" t="s">
        <v>99</v>
      </c>
      <c r="P14" s="147" t="s">
        <v>225</v>
      </c>
      <c r="Q14" s="147" t="s">
        <v>22</v>
      </c>
      <c r="R14" s="154"/>
    </row>
    <row r="15" spans="1:18" s="43" customFormat="1" ht="61.5" x14ac:dyDescent="0.5">
      <c r="A15" s="177" t="s">
        <v>262</v>
      </c>
      <c r="B15" s="178" t="s">
        <v>263</v>
      </c>
      <c r="C15" s="177" t="s">
        <v>146</v>
      </c>
      <c r="D15" s="179">
        <v>2720648</v>
      </c>
      <c r="E15" s="168">
        <f>PAAP[[#This Row],[Valoare estimată 
- lei fără TVA -]]*1.19</f>
        <v>3237571.1199999996</v>
      </c>
      <c r="F15" s="180">
        <v>45012</v>
      </c>
      <c r="G15" s="180">
        <v>45108</v>
      </c>
      <c r="H15" s="177" t="s">
        <v>44</v>
      </c>
      <c r="I15" s="177" t="s">
        <v>230</v>
      </c>
      <c r="J15" s="177" t="s">
        <v>256</v>
      </c>
      <c r="K15" s="147" t="s">
        <v>212</v>
      </c>
      <c r="L15" s="153" t="s">
        <v>22</v>
      </c>
      <c r="M15" s="156" t="s">
        <v>23</v>
      </c>
      <c r="N15" s="147" t="s">
        <v>97</v>
      </c>
      <c r="O15" s="146" t="s">
        <v>99</v>
      </c>
      <c r="P15" s="147" t="s">
        <v>225</v>
      </c>
      <c r="Q15" s="147" t="s">
        <v>22</v>
      </c>
      <c r="R15" s="154"/>
    </row>
    <row r="16" spans="1:18" s="43" customFormat="1" ht="123" x14ac:dyDescent="0.5">
      <c r="A16" s="177" t="s">
        <v>264</v>
      </c>
      <c r="B16" s="178" t="s">
        <v>265</v>
      </c>
      <c r="C16" s="177" t="s">
        <v>266</v>
      </c>
      <c r="D16" s="179">
        <v>35167953</v>
      </c>
      <c r="E16" s="168">
        <f>PAAP[[#This Row],[Valoare estimată 
- lei fără TVA -]]*1.19</f>
        <v>41849864.07</v>
      </c>
      <c r="F16" s="180">
        <v>45054</v>
      </c>
      <c r="G16" s="180">
        <v>45138</v>
      </c>
      <c r="H16" s="177" t="s">
        <v>231</v>
      </c>
      <c r="I16" s="177" t="s">
        <v>230</v>
      </c>
      <c r="J16" s="177" t="s">
        <v>256</v>
      </c>
      <c r="K16" s="147" t="s">
        <v>214</v>
      </c>
      <c r="L16" s="153" t="s">
        <v>22</v>
      </c>
      <c r="M16" s="156" t="s">
        <v>29</v>
      </c>
      <c r="N16" s="147" t="s">
        <v>96</v>
      </c>
      <c r="O16" s="146" t="s">
        <v>99</v>
      </c>
      <c r="P16" s="147" t="s">
        <v>225</v>
      </c>
      <c r="Q16" s="147" t="s">
        <v>22</v>
      </c>
      <c r="R16" s="154"/>
    </row>
    <row r="17" spans="1:18" s="144" customFormat="1" ht="123" x14ac:dyDescent="0.5">
      <c r="A17" s="165" t="s">
        <v>267</v>
      </c>
      <c r="B17" s="166" t="s">
        <v>268</v>
      </c>
      <c r="C17" s="165" t="s">
        <v>269</v>
      </c>
      <c r="D17" s="179">
        <v>2927870</v>
      </c>
      <c r="E17" s="173">
        <f>PAAP[[#This Row],[Valoare estimată 
- lei fără TVA -]]*1.19</f>
        <v>3484165.3</v>
      </c>
      <c r="F17" s="180" t="s">
        <v>283</v>
      </c>
      <c r="G17" s="180" t="s">
        <v>282</v>
      </c>
      <c r="H17" s="177" t="s">
        <v>231</v>
      </c>
      <c r="I17" s="177" t="s">
        <v>230</v>
      </c>
      <c r="J17" s="177" t="s">
        <v>256</v>
      </c>
      <c r="K17" s="147" t="s">
        <v>214</v>
      </c>
      <c r="L17" s="153" t="s">
        <v>22</v>
      </c>
      <c r="M17" s="155" t="s">
        <v>23</v>
      </c>
      <c r="N17" s="147" t="s">
        <v>97</v>
      </c>
      <c r="O17" s="146" t="s">
        <v>99</v>
      </c>
      <c r="P17" s="147" t="s">
        <v>225</v>
      </c>
      <c r="Q17" s="147" t="s">
        <v>22</v>
      </c>
      <c r="R17" s="154"/>
    </row>
    <row r="18" spans="1:18" s="43" customFormat="1" ht="123" x14ac:dyDescent="0.5">
      <c r="A18" s="165" t="s">
        <v>273</v>
      </c>
      <c r="B18" s="166" t="s">
        <v>274</v>
      </c>
      <c r="C18" s="165" t="s">
        <v>275</v>
      </c>
      <c r="D18" s="167">
        <v>15710000</v>
      </c>
      <c r="E18" s="168">
        <f>PAAP[[#This Row],[Valoare estimată 
- lei fără TVA -]]*1.19</f>
        <v>18694900</v>
      </c>
      <c r="F18" s="169">
        <v>45163</v>
      </c>
      <c r="G18" s="169">
        <v>45296</v>
      </c>
      <c r="H18" s="165" t="s">
        <v>13</v>
      </c>
      <c r="I18" s="165" t="s">
        <v>62</v>
      </c>
      <c r="J18" s="165" t="s">
        <v>256</v>
      </c>
      <c r="K18" s="147" t="s">
        <v>213</v>
      </c>
      <c r="L18" s="153" t="s">
        <v>22</v>
      </c>
      <c r="M18" s="155" t="s">
        <v>17</v>
      </c>
      <c r="N18" s="147" t="s">
        <v>95</v>
      </c>
      <c r="O18" s="146" t="s">
        <v>98</v>
      </c>
      <c r="P18" s="147" t="s">
        <v>227</v>
      </c>
      <c r="Q18" s="147" t="s">
        <v>22</v>
      </c>
      <c r="R18" s="154"/>
    </row>
    <row r="19" spans="1:18" ht="92.25" x14ac:dyDescent="0.5">
      <c r="A19" s="165" t="s">
        <v>276</v>
      </c>
      <c r="B19" s="178" t="s">
        <v>280</v>
      </c>
      <c r="C19" s="177" t="s">
        <v>284</v>
      </c>
      <c r="D19" s="179">
        <v>6500000</v>
      </c>
      <c r="E19" s="168">
        <f>PAAP[[#This Row],[Valoare estimată 
- lei fără TVA -]]*1.19</f>
        <v>7735000</v>
      </c>
      <c r="F19" s="180" t="s">
        <v>281</v>
      </c>
      <c r="G19" s="180" t="s">
        <v>282</v>
      </c>
      <c r="H19" s="177" t="s">
        <v>13</v>
      </c>
      <c r="I19" s="177" t="s">
        <v>62</v>
      </c>
      <c r="J19" s="177" t="s">
        <v>256</v>
      </c>
      <c r="K19" s="185"/>
      <c r="L19" s="186"/>
      <c r="M19" s="187"/>
      <c r="N19" s="186"/>
      <c r="O19" s="188"/>
      <c r="P19" s="193"/>
      <c r="Q19" s="193"/>
      <c r="R19" s="189"/>
    </row>
    <row r="20" spans="1:18" ht="92.25" x14ac:dyDescent="0.5">
      <c r="A20" s="165" t="s">
        <v>277</v>
      </c>
      <c r="B20" s="178" t="s">
        <v>285</v>
      </c>
      <c r="C20" s="177" t="s">
        <v>286</v>
      </c>
      <c r="D20" s="179">
        <v>2280000</v>
      </c>
      <c r="E20" s="167">
        <f>PAAP[[#This Row],[Valoare estimată 
- lei fără TVA -]]*1.19</f>
        <v>2713200</v>
      </c>
      <c r="F20" s="180" t="s">
        <v>287</v>
      </c>
      <c r="G20" s="180" t="s">
        <v>288</v>
      </c>
      <c r="H20" s="177" t="s">
        <v>13</v>
      </c>
      <c r="I20" s="177" t="s">
        <v>62</v>
      </c>
      <c r="J20" s="177" t="s">
        <v>303</v>
      </c>
      <c r="K20" s="185"/>
      <c r="L20" s="186"/>
      <c r="M20" s="187"/>
      <c r="N20" s="186"/>
      <c r="O20" s="188"/>
      <c r="P20" s="193"/>
      <c r="Q20" s="193"/>
      <c r="R20" s="189"/>
    </row>
    <row r="21" spans="1:18" ht="307.5" x14ac:dyDescent="0.5">
      <c r="A21" s="165" t="s">
        <v>278</v>
      </c>
      <c r="B21" s="178" t="s">
        <v>296</v>
      </c>
      <c r="C21" s="177" t="s">
        <v>289</v>
      </c>
      <c r="D21" s="179">
        <v>3048000</v>
      </c>
      <c r="E21" s="168">
        <f>PAAP[[#This Row],[Valoare estimată 
- lei fără TVA -]]*1.19</f>
        <v>3627120</v>
      </c>
      <c r="F21" s="180" t="s">
        <v>290</v>
      </c>
      <c r="G21" s="180" t="s">
        <v>282</v>
      </c>
      <c r="H21" s="177" t="s">
        <v>13</v>
      </c>
      <c r="I21" s="177" t="s">
        <v>62</v>
      </c>
      <c r="J21" s="177" t="s">
        <v>256</v>
      </c>
      <c r="K21" s="185"/>
      <c r="L21" s="186"/>
      <c r="M21" s="187"/>
      <c r="N21" s="186"/>
      <c r="O21" s="188"/>
      <c r="P21" s="193"/>
      <c r="Q21" s="193"/>
      <c r="R21" s="189"/>
    </row>
    <row r="22" spans="1:18" ht="92.25" x14ac:dyDescent="0.5">
      <c r="A22" s="165" t="s">
        <v>279</v>
      </c>
      <c r="B22" s="178" t="s">
        <v>291</v>
      </c>
      <c r="C22" s="177" t="s">
        <v>292</v>
      </c>
      <c r="D22" s="179">
        <v>1400000</v>
      </c>
      <c r="E22" s="168">
        <f>PAAP[[#This Row],[Valoare estimată 
- lei fără TVA -]]*1.19</f>
        <v>1666000</v>
      </c>
      <c r="F22" s="180" t="s">
        <v>293</v>
      </c>
      <c r="G22" s="180" t="s">
        <v>294</v>
      </c>
      <c r="H22" s="177" t="s">
        <v>13</v>
      </c>
      <c r="I22" s="177" t="s">
        <v>62</v>
      </c>
      <c r="J22" s="177" t="s">
        <v>302</v>
      </c>
      <c r="K22" s="185"/>
      <c r="L22" s="186"/>
      <c r="M22" s="187"/>
      <c r="N22" s="186"/>
      <c r="O22" s="188"/>
      <c r="P22" s="193"/>
      <c r="Q22" s="193"/>
      <c r="R22" s="189"/>
    </row>
    <row r="23" spans="1:18" ht="61.5" x14ac:dyDescent="0.5">
      <c r="A23" s="165" t="s">
        <v>297</v>
      </c>
      <c r="B23" s="178" t="s">
        <v>298</v>
      </c>
      <c r="C23" s="177" t="s">
        <v>299</v>
      </c>
      <c r="D23" s="179">
        <v>300360</v>
      </c>
      <c r="E23" s="167">
        <f>PAAP[[#This Row],[Valoare estimată 
- lei fără TVA -]]*1.19</f>
        <v>357428.39999999997</v>
      </c>
      <c r="F23" s="180" t="s">
        <v>300</v>
      </c>
      <c r="G23" s="180" t="s">
        <v>301</v>
      </c>
      <c r="H23" s="177" t="s">
        <v>19</v>
      </c>
      <c r="I23" s="177" t="s">
        <v>62</v>
      </c>
      <c r="J23" s="177" t="s">
        <v>256</v>
      </c>
      <c r="K23" s="190"/>
      <c r="L23" s="191"/>
      <c r="M23" s="192"/>
      <c r="N23" s="191"/>
      <c r="O23" s="193"/>
      <c r="P23" s="193"/>
      <c r="Q23" s="193"/>
      <c r="R23" s="154"/>
    </row>
    <row r="24" spans="1:18" ht="36" x14ac:dyDescent="0.55000000000000004">
      <c r="A24" s="163"/>
      <c r="B24" s="164"/>
      <c r="C24" s="164"/>
      <c r="D24" s="164"/>
      <c r="E24" s="162"/>
      <c r="F24" s="162"/>
      <c r="G24" s="162"/>
      <c r="H24" s="164"/>
      <c r="I24" s="164"/>
      <c r="J24" s="164"/>
      <c r="K24" s="149"/>
      <c r="L24" s="149"/>
      <c r="M24" s="149"/>
      <c r="N24" s="149"/>
      <c r="O24" s="149"/>
      <c r="P24" s="149"/>
      <c r="Q24" s="149"/>
      <c r="R24" s="149"/>
    </row>
    <row r="25" spans="1:18" ht="36" x14ac:dyDescent="0.55000000000000004">
      <c r="A25" s="163"/>
      <c r="B25" s="164"/>
      <c r="C25" s="164"/>
      <c r="D25" s="164"/>
      <c r="E25" s="162"/>
      <c r="F25" s="162"/>
      <c r="G25" s="162"/>
      <c r="H25" s="164"/>
      <c r="I25" s="164"/>
      <c r="J25" s="164"/>
      <c r="K25" s="149"/>
      <c r="L25" s="149"/>
      <c r="M25" s="149"/>
      <c r="N25" s="149"/>
      <c r="O25" s="149"/>
      <c r="P25" s="149"/>
      <c r="Q25" s="149"/>
      <c r="R25" s="149"/>
    </row>
    <row r="26" spans="1:18" ht="36" x14ac:dyDescent="0.55000000000000004">
      <c r="A26" s="163"/>
      <c r="B26" s="157"/>
      <c r="C26" s="162"/>
      <c r="D26" s="162"/>
      <c r="E26" s="162"/>
      <c r="F26" s="162"/>
      <c r="G26" s="162"/>
      <c r="H26" s="164"/>
      <c r="I26" s="164"/>
      <c r="J26" s="164"/>
      <c r="K26" s="149"/>
      <c r="L26" s="149"/>
      <c r="M26" s="149"/>
      <c r="N26" s="149"/>
      <c r="O26" s="149"/>
      <c r="P26" s="149"/>
      <c r="Q26" s="149"/>
      <c r="R26" s="149"/>
    </row>
    <row r="27" spans="1:18" ht="33.75" x14ac:dyDescent="0.5">
      <c r="A27" s="149"/>
      <c r="B27" s="151"/>
      <c r="C27" s="148"/>
      <c r="D27" s="148"/>
      <c r="E27" s="148"/>
      <c r="F27" s="148"/>
      <c r="G27" s="148"/>
      <c r="H27" s="150"/>
      <c r="I27" s="150"/>
      <c r="J27" s="150"/>
      <c r="K27" s="149"/>
      <c r="L27" s="149"/>
      <c r="M27" s="149"/>
      <c r="N27" s="149"/>
      <c r="O27" s="149"/>
      <c r="P27" s="149"/>
      <c r="Q27" s="149"/>
      <c r="R27" s="149"/>
    </row>
    <row r="28" spans="1:18" ht="33.75" x14ac:dyDescent="0.5">
      <c r="A28" s="149"/>
      <c r="B28" s="151"/>
      <c r="C28" s="148"/>
      <c r="D28" s="148"/>
      <c r="E28" s="148"/>
      <c r="F28" s="148"/>
      <c r="G28" s="148"/>
      <c r="H28" s="150"/>
      <c r="I28" s="150"/>
      <c r="J28" s="150"/>
      <c r="K28" s="149"/>
      <c r="L28" s="149"/>
      <c r="M28" s="149"/>
      <c r="N28" s="149"/>
      <c r="O28" s="149"/>
      <c r="P28" s="149"/>
      <c r="Q28" s="149"/>
      <c r="R28" s="149"/>
    </row>
    <row r="29" spans="1:18" ht="33.75" x14ac:dyDescent="0.5">
      <c r="A29" s="149"/>
      <c r="B29" s="151"/>
      <c r="C29" s="148"/>
      <c r="D29" s="148"/>
      <c r="E29" s="148"/>
      <c r="F29" s="148"/>
      <c r="G29" s="148"/>
      <c r="H29" s="150"/>
      <c r="I29" s="150"/>
      <c r="J29" s="150"/>
      <c r="K29" s="149"/>
      <c r="L29" s="149"/>
      <c r="M29" s="149"/>
      <c r="N29" s="149"/>
      <c r="O29" s="149"/>
      <c r="P29" s="149"/>
      <c r="Q29" s="149"/>
      <c r="R29" s="149"/>
    </row>
    <row r="30" spans="1:18" ht="33.75" x14ac:dyDescent="0.5">
      <c r="A30" s="149"/>
      <c r="B30" s="149"/>
      <c r="C30" s="149"/>
      <c r="D30" s="149"/>
      <c r="E30" s="149"/>
      <c r="F30" s="149"/>
      <c r="G30" s="149"/>
      <c r="H30" s="149"/>
      <c r="I30" s="149"/>
      <c r="J30" s="149"/>
      <c r="K30" s="149"/>
      <c r="L30" s="149"/>
      <c r="M30" s="149"/>
      <c r="N30" s="149"/>
      <c r="O30" s="149"/>
      <c r="P30" s="149"/>
      <c r="Q30" s="149"/>
      <c r="R30" s="149"/>
    </row>
  </sheetData>
  <sheetProtection sort="0" autoFilter="0" pivotTables="0"/>
  <dataConsolidate/>
  <mergeCells count="2">
    <mergeCell ref="A2:J2"/>
    <mergeCell ref="A3:J3"/>
  </mergeCells>
  <phoneticPr fontId="32" type="noConversion"/>
  <dataValidations count="9">
    <dataValidation type="list" allowBlank="1" showInputMessage="1" showErrorMessage="1" sqref="H6:H23" xr:uid="{00000000-0002-0000-0000-000000000000}">
      <formula1>tip_procedura</formula1>
    </dataValidation>
    <dataValidation type="list" allowBlank="1" showInputMessage="1" showErrorMessage="1" sqref="I6:I23" xr:uid="{00000000-0002-0000-0000-000005000000}">
      <formula1>mod_derulare</formula1>
    </dataValidation>
    <dataValidation type="list" allowBlank="1" showInputMessage="1" showErrorMessage="1" sqref="M6:M23" xr:uid="{00000000-0002-0000-0000-000002000000}">
      <formula1>art_buget</formula1>
    </dataValidation>
    <dataValidation type="list" allowBlank="1" showInputMessage="1" showErrorMessage="1" sqref="L6:L23" xr:uid="{00000000-0002-0000-0000-000003000000}">
      <formula1>"DA, NU"</formula1>
    </dataValidation>
    <dataValidation type="list" allowBlank="1" showInputMessage="1" showErrorMessage="1" sqref="N6:N23" xr:uid="{00000000-0002-0000-0000-000006000000}">
      <formula1>"Q1,Q2,Q3,Q4"</formula1>
    </dataValidation>
    <dataValidation type="list" allowBlank="1" showInputMessage="1" showErrorMessage="1" sqref="O6:O23" xr:uid="{00000000-0002-0000-0000-000007000000}">
      <formula1>dir_solicitanta</formula1>
    </dataValidation>
    <dataValidation type="list" allowBlank="1" showInputMessage="1" showErrorMessage="1" sqref="K6:K23" xr:uid="{00000000-0002-0000-0000-000008000000}">
      <formula1>"Trim I, Trim II, Trim III, Trim IV"</formula1>
    </dataValidation>
    <dataValidation type="list" allowBlank="1" showInputMessage="1" showErrorMessage="1" sqref="Q6:Q23" xr:uid="{75DE77BB-1BF5-47A5-A2AE-6E868840F908}">
      <formula1>"DA,NU"</formula1>
    </dataValidation>
    <dataValidation type="list" allowBlank="1" showInputMessage="1" showErrorMessage="1" sqref="P6:P23" xr:uid="{273BE105-836F-43DA-9E18-83F0B358C277}">
      <formula1>"CAP,AC"</formula1>
    </dataValidation>
  </dataValidations>
  <pageMargins left="0.31496062992125984" right="0.31496062992125984" top="0.47244094488188981" bottom="0.43307086614173229" header="0.31496062992125984" footer="7.874015748031496E-2"/>
  <pageSetup paperSize="9" scale="28" fitToHeight="0" orientation="landscape" r:id="rId1"/>
  <headerFooter differentFirst="1">
    <oddFooter>&amp;R&amp;"Trebuchet MS,Regular"&amp;28Pag. &amp;P/&amp;N</oddFooter>
    <firstFooter>&amp;R&amp;22Pag. &amp;P/&amp;N</firstFooter>
  </headerFooter>
  <rowBreaks count="1" manualBreakCount="1">
    <brk id="14" max="20"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69"/>
  <sheetViews>
    <sheetView topLeftCell="E1" zoomScale="85" zoomScaleNormal="85" workbookViewId="0">
      <selection activeCell="G12" sqref="G12"/>
    </sheetView>
  </sheetViews>
  <sheetFormatPr defaultColWidth="9.140625" defaultRowHeight="15" x14ac:dyDescent="0.25"/>
  <cols>
    <col min="1" max="1" width="18.140625" style="14" customWidth="1"/>
    <col min="2" max="2" width="43.5703125" style="14" customWidth="1"/>
    <col min="3" max="3" width="21.42578125" style="14" customWidth="1"/>
    <col min="4" max="4" width="21.7109375" style="136" customWidth="1"/>
    <col min="5" max="5" width="23.28515625" style="14" customWidth="1"/>
    <col min="6" max="6" width="20" style="14" customWidth="1"/>
    <col min="7" max="7" width="17.7109375" style="14" customWidth="1"/>
    <col min="8" max="8" width="18.42578125" style="14" customWidth="1"/>
    <col min="9" max="10" width="25.85546875" style="14" customWidth="1"/>
    <col min="11" max="11" width="15.85546875" style="14" customWidth="1"/>
    <col min="12" max="12" width="15.7109375" style="14" customWidth="1"/>
    <col min="13" max="13" width="38.85546875" style="14" customWidth="1"/>
    <col min="14" max="14" width="18.140625" style="14" customWidth="1"/>
    <col min="15" max="15" width="15.5703125" style="14" customWidth="1"/>
    <col min="16" max="16" width="19.28515625" style="14" customWidth="1"/>
    <col min="17" max="17" width="17.5703125" style="76" customWidth="1"/>
    <col min="18" max="16384" width="9.140625" style="14"/>
  </cols>
  <sheetData>
    <row r="1" spans="1:17" ht="21" x14ac:dyDescent="0.3">
      <c r="A1" s="43"/>
      <c r="B1" s="46"/>
      <c r="C1" s="45"/>
      <c r="D1" s="123"/>
      <c r="E1" s="43"/>
      <c r="F1" s="43"/>
      <c r="G1" s="43"/>
      <c r="H1" s="43"/>
      <c r="I1" s="201" t="s">
        <v>50</v>
      </c>
      <c r="J1" s="201"/>
      <c r="K1" s="201"/>
      <c r="L1" s="201"/>
      <c r="M1" s="201"/>
    </row>
    <row r="2" spans="1:17" ht="18.75" x14ac:dyDescent="0.3">
      <c r="A2" s="43"/>
      <c r="B2" s="44"/>
      <c r="C2" s="43"/>
      <c r="D2" s="123"/>
      <c r="E2" s="43"/>
      <c r="F2" s="43"/>
      <c r="G2" s="43"/>
      <c r="H2" s="43"/>
      <c r="I2" s="201" t="s">
        <v>51</v>
      </c>
      <c r="J2" s="201"/>
      <c r="K2" s="201"/>
      <c r="L2" s="201"/>
      <c r="M2" s="201"/>
    </row>
    <row r="3" spans="1:17" ht="18.75" x14ac:dyDescent="0.3">
      <c r="A3" s="43"/>
      <c r="B3" s="44"/>
      <c r="C3" s="43"/>
      <c r="D3" s="123"/>
      <c r="E3" s="43"/>
      <c r="F3" s="43"/>
      <c r="G3" s="43"/>
      <c r="H3" s="43"/>
      <c r="I3" s="202" t="s">
        <v>52</v>
      </c>
      <c r="J3" s="202"/>
      <c r="K3" s="202"/>
      <c r="L3" s="202"/>
      <c r="M3" s="202"/>
    </row>
    <row r="4" spans="1:17" ht="18.75" x14ac:dyDescent="0.3">
      <c r="A4" s="203"/>
      <c r="B4" s="203"/>
      <c r="C4" s="203"/>
      <c r="D4" s="203"/>
      <c r="E4" s="203"/>
      <c r="F4" s="203"/>
      <c r="G4" s="203"/>
      <c r="H4" s="203"/>
      <c r="I4" s="203"/>
      <c r="J4" s="203"/>
      <c r="K4" s="203"/>
      <c r="L4" s="203"/>
      <c r="M4" s="203"/>
    </row>
    <row r="5" spans="1:17" ht="18.75" x14ac:dyDescent="0.25">
      <c r="A5" s="201" t="s">
        <v>110</v>
      </c>
      <c r="B5" s="201"/>
      <c r="C5" s="201"/>
      <c r="D5" s="201"/>
      <c r="E5" s="201"/>
      <c r="F5" s="201"/>
      <c r="G5" s="201"/>
      <c r="H5" s="201"/>
      <c r="I5" s="201"/>
      <c r="J5" s="201"/>
      <c r="K5" s="201"/>
      <c r="L5" s="201"/>
      <c r="M5" s="201"/>
    </row>
    <row r="6" spans="1:17" ht="15.75" customHeight="1" x14ac:dyDescent="0.25">
      <c r="A6" s="201" t="s">
        <v>111</v>
      </c>
      <c r="B6" s="201"/>
      <c r="C6" s="201"/>
      <c r="D6" s="201"/>
      <c r="E6" s="201"/>
      <c r="F6" s="201"/>
      <c r="G6" s="201"/>
      <c r="H6" s="201"/>
      <c r="I6" s="201"/>
      <c r="J6" s="201"/>
      <c r="K6" s="201"/>
      <c r="L6" s="201"/>
      <c r="M6" s="201"/>
    </row>
    <row r="8" spans="1:17" ht="56.25" x14ac:dyDescent="0.25">
      <c r="A8" s="28" t="s">
        <v>0</v>
      </c>
      <c r="B8" s="29" t="s">
        <v>1</v>
      </c>
      <c r="C8" s="29" t="s">
        <v>2</v>
      </c>
      <c r="D8" s="124" t="s">
        <v>3</v>
      </c>
      <c r="E8" s="29" t="s">
        <v>223</v>
      </c>
      <c r="F8" s="29" t="s">
        <v>106</v>
      </c>
      <c r="G8" s="29" t="s">
        <v>4</v>
      </c>
      <c r="H8" s="29" t="s">
        <v>5</v>
      </c>
      <c r="I8" s="29" t="s">
        <v>6</v>
      </c>
      <c r="J8" s="29" t="s">
        <v>64</v>
      </c>
      <c r="K8" s="29" t="s">
        <v>7</v>
      </c>
      <c r="L8" s="29" t="s">
        <v>8</v>
      </c>
      <c r="M8" s="29" t="s">
        <v>9</v>
      </c>
      <c r="N8" s="16" t="s">
        <v>10</v>
      </c>
      <c r="O8" s="16" t="s">
        <v>11</v>
      </c>
      <c r="P8" s="16" t="s">
        <v>12</v>
      </c>
      <c r="Q8" s="77" t="s">
        <v>112</v>
      </c>
    </row>
    <row r="9" spans="1:17" ht="31.5" x14ac:dyDescent="0.25">
      <c r="A9" s="52">
        <v>7</v>
      </c>
      <c r="B9" s="51" t="s">
        <v>199</v>
      </c>
      <c r="C9" s="54" t="s">
        <v>194</v>
      </c>
      <c r="D9" s="125">
        <v>34209.75</v>
      </c>
      <c r="E9" s="115"/>
      <c r="F9" s="116"/>
      <c r="G9" s="58">
        <v>43340</v>
      </c>
      <c r="H9" s="58">
        <v>43707</v>
      </c>
      <c r="I9" s="52" t="s">
        <v>80</v>
      </c>
      <c r="J9" s="52"/>
      <c r="K9" s="52" t="s">
        <v>14</v>
      </c>
      <c r="L9" s="52" t="s">
        <v>104</v>
      </c>
      <c r="M9" s="12"/>
      <c r="N9" s="107"/>
      <c r="O9" s="107"/>
      <c r="P9" s="16"/>
      <c r="Q9" s="108"/>
    </row>
    <row r="10" spans="1:17" ht="42" customHeight="1" x14ac:dyDescent="0.25">
      <c r="A10" s="79">
        <v>11</v>
      </c>
      <c r="B10" s="51" t="s">
        <v>198</v>
      </c>
      <c r="C10" s="56" t="s">
        <v>127</v>
      </c>
      <c r="D10" s="120">
        <v>6500</v>
      </c>
      <c r="E10" s="120"/>
      <c r="F10" s="55"/>
      <c r="G10" s="58">
        <v>43676</v>
      </c>
      <c r="H10" s="58">
        <v>43768</v>
      </c>
      <c r="I10" s="52" t="s">
        <v>13</v>
      </c>
      <c r="J10" s="52"/>
      <c r="K10" s="52" t="s">
        <v>14</v>
      </c>
      <c r="L10" s="52" t="s">
        <v>104</v>
      </c>
      <c r="M10" s="87"/>
      <c r="N10" s="7"/>
      <c r="O10" s="7"/>
      <c r="P10" s="25"/>
      <c r="Q10" s="78" t="s">
        <v>130</v>
      </c>
    </row>
    <row r="11" spans="1:17" ht="42" customHeight="1" x14ac:dyDescent="0.25">
      <c r="A11" s="79">
        <v>12</v>
      </c>
      <c r="B11" s="51" t="s">
        <v>120</v>
      </c>
      <c r="C11" s="54" t="s">
        <v>121</v>
      </c>
      <c r="D11" s="120">
        <f>204673.35+7250+88215</f>
        <v>300138.34999999998</v>
      </c>
      <c r="E11" s="120"/>
      <c r="F11" s="55"/>
      <c r="G11" s="86">
        <v>43709</v>
      </c>
      <c r="H11" s="86">
        <v>43770</v>
      </c>
      <c r="I11" s="52" t="s">
        <v>19</v>
      </c>
      <c r="J11" s="52"/>
      <c r="K11" s="52" t="s">
        <v>24</v>
      </c>
      <c r="L11" s="52" t="s">
        <v>101</v>
      </c>
      <c r="M11" s="87" t="s">
        <v>189</v>
      </c>
      <c r="N11" s="7"/>
      <c r="O11" s="7"/>
      <c r="P11" s="25"/>
      <c r="Q11" s="78" t="s">
        <v>130</v>
      </c>
    </row>
    <row r="12" spans="1:17" ht="143.25" customHeight="1" x14ac:dyDescent="0.25">
      <c r="A12" s="79">
        <v>13</v>
      </c>
      <c r="B12" s="111" t="s">
        <v>200</v>
      </c>
      <c r="C12" s="84" t="s">
        <v>201</v>
      </c>
      <c r="D12" s="126">
        <v>158021.19</v>
      </c>
      <c r="E12" s="120"/>
      <c r="F12" s="55"/>
      <c r="G12" s="110">
        <v>43696</v>
      </c>
      <c r="H12" s="110">
        <v>43814</v>
      </c>
      <c r="I12" s="87" t="s">
        <v>19</v>
      </c>
      <c r="J12" s="52"/>
      <c r="K12" s="52" t="s">
        <v>24</v>
      </c>
      <c r="L12" s="52" t="s">
        <v>101</v>
      </c>
      <c r="M12" s="112" t="s">
        <v>202</v>
      </c>
      <c r="N12" s="7"/>
      <c r="O12" s="7"/>
      <c r="P12" s="25"/>
      <c r="Q12" s="78" t="s">
        <v>130</v>
      </c>
    </row>
    <row r="13" spans="1:17" ht="78" customHeight="1" x14ac:dyDescent="0.25">
      <c r="A13" s="79">
        <v>14</v>
      </c>
      <c r="B13" s="51" t="s">
        <v>118</v>
      </c>
      <c r="C13" s="52" t="s">
        <v>119</v>
      </c>
      <c r="D13" s="125">
        <f>62268+129600</f>
        <v>191868</v>
      </c>
      <c r="E13" s="125"/>
      <c r="F13" s="53"/>
      <c r="G13" s="110">
        <v>43499</v>
      </c>
      <c r="H13" s="110">
        <v>43951</v>
      </c>
      <c r="I13" s="52" t="s">
        <v>19</v>
      </c>
      <c r="J13" s="52"/>
      <c r="K13" s="52" t="s">
        <v>14</v>
      </c>
      <c r="L13" s="52" t="s">
        <v>101</v>
      </c>
      <c r="M13" s="52"/>
      <c r="N13" s="7"/>
      <c r="O13" s="7"/>
      <c r="P13" s="25"/>
      <c r="Q13" s="78" t="s">
        <v>130</v>
      </c>
    </row>
    <row r="14" spans="1:17" ht="59.25" customHeight="1" x14ac:dyDescent="0.25">
      <c r="A14" s="79">
        <v>15</v>
      </c>
      <c r="B14" s="51" t="s">
        <v>128</v>
      </c>
      <c r="C14" s="56" t="s">
        <v>129</v>
      </c>
      <c r="D14" s="120">
        <v>3131100</v>
      </c>
      <c r="E14" s="120"/>
      <c r="F14" s="55"/>
      <c r="G14" s="58">
        <v>43678</v>
      </c>
      <c r="H14" s="110">
        <v>43829</v>
      </c>
      <c r="I14" s="52" t="s">
        <v>13</v>
      </c>
      <c r="J14" s="52"/>
      <c r="K14" s="87" t="s">
        <v>14</v>
      </c>
      <c r="L14" s="87" t="s">
        <v>103</v>
      </c>
      <c r="M14" s="52"/>
      <c r="N14" s="7"/>
      <c r="O14" s="7"/>
      <c r="P14" s="25"/>
      <c r="Q14" s="78" t="s">
        <v>130</v>
      </c>
    </row>
    <row r="15" spans="1:17" ht="36" customHeight="1" x14ac:dyDescent="0.25">
      <c r="A15" s="79">
        <v>16</v>
      </c>
      <c r="B15" s="51" t="s">
        <v>125</v>
      </c>
      <c r="C15" s="57" t="s">
        <v>126</v>
      </c>
      <c r="D15" s="120">
        <v>6399</v>
      </c>
      <c r="E15" s="120"/>
      <c r="F15" s="55">
        <v>4798.08</v>
      </c>
      <c r="G15" s="86">
        <v>43497</v>
      </c>
      <c r="H15" s="86">
        <v>43594</v>
      </c>
      <c r="I15" s="52" t="s">
        <v>80</v>
      </c>
      <c r="J15" s="52"/>
      <c r="K15" s="52" t="s">
        <v>24</v>
      </c>
      <c r="L15" s="87" t="s">
        <v>104</v>
      </c>
      <c r="M15" s="87" t="s">
        <v>188</v>
      </c>
      <c r="N15" s="7"/>
      <c r="O15" s="7"/>
      <c r="P15" s="25"/>
      <c r="Q15" s="78" t="s">
        <v>130</v>
      </c>
    </row>
    <row r="16" spans="1:17" ht="71.25" customHeight="1" x14ac:dyDescent="0.25">
      <c r="A16" s="79">
        <v>17</v>
      </c>
      <c r="B16" s="51" t="s">
        <v>123</v>
      </c>
      <c r="C16" s="56" t="s">
        <v>124</v>
      </c>
      <c r="D16" s="120">
        <v>21000</v>
      </c>
      <c r="E16" s="120"/>
      <c r="F16" s="55"/>
      <c r="G16" s="58">
        <v>43678</v>
      </c>
      <c r="H16" s="58">
        <v>43799</v>
      </c>
      <c r="I16" s="52" t="s">
        <v>80</v>
      </c>
      <c r="J16" s="52"/>
      <c r="K16" s="52" t="s">
        <v>24</v>
      </c>
      <c r="L16" s="87" t="s">
        <v>103</v>
      </c>
      <c r="M16" s="87"/>
      <c r="N16" s="7"/>
      <c r="O16" s="7"/>
      <c r="P16" s="25"/>
      <c r="Q16" s="78" t="s">
        <v>130</v>
      </c>
    </row>
    <row r="17" spans="1:18" ht="63.75" customHeight="1" x14ac:dyDescent="0.25">
      <c r="A17" s="79">
        <v>18</v>
      </c>
      <c r="B17" s="51" t="s">
        <v>122</v>
      </c>
      <c r="C17" s="56" t="s">
        <v>71</v>
      </c>
      <c r="D17" s="120">
        <f xml:space="preserve"> 495+432+432</f>
        <v>1359</v>
      </c>
      <c r="E17" s="120"/>
      <c r="F17" s="55"/>
      <c r="G17" s="110">
        <v>44075</v>
      </c>
      <c r="H17" s="110">
        <v>44104</v>
      </c>
      <c r="I17" s="52" t="s">
        <v>80</v>
      </c>
      <c r="J17" s="52"/>
      <c r="K17" s="52" t="s">
        <v>14</v>
      </c>
      <c r="L17" s="52" t="s">
        <v>101</v>
      </c>
      <c r="M17" s="52"/>
      <c r="N17" s="7"/>
      <c r="O17" s="7"/>
      <c r="P17" s="49"/>
      <c r="Q17" s="78" t="s">
        <v>130</v>
      </c>
    </row>
    <row r="18" spans="1:18" ht="55.5" customHeight="1" x14ac:dyDescent="0.25">
      <c r="A18" s="80">
        <v>1</v>
      </c>
      <c r="B18" s="61" t="s">
        <v>132</v>
      </c>
      <c r="C18" s="62" t="s">
        <v>133</v>
      </c>
      <c r="D18" s="119">
        <v>21330</v>
      </c>
      <c r="E18" s="115"/>
      <c r="F18" s="116"/>
      <c r="G18" s="64">
        <v>43544</v>
      </c>
      <c r="H18" s="64">
        <v>43574</v>
      </c>
      <c r="I18" s="52" t="s">
        <v>80</v>
      </c>
      <c r="J18" s="52" t="s">
        <v>63</v>
      </c>
      <c r="K18" s="87" t="s">
        <v>20</v>
      </c>
      <c r="L18" s="87" t="s">
        <v>104</v>
      </c>
      <c r="M18" s="84" t="s">
        <v>207</v>
      </c>
      <c r="N18" s="7"/>
      <c r="O18" s="7"/>
      <c r="P18" s="49"/>
      <c r="Q18" s="78" t="s">
        <v>131</v>
      </c>
    </row>
    <row r="19" spans="1:18" ht="121.5" customHeight="1" x14ac:dyDescent="0.25">
      <c r="A19" s="80">
        <v>2</v>
      </c>
      <c r="B19" s="63" t="s">
        <v>134</v>
      </c>
      <c r="C19" s="61" t="s">
        <v>135</v>
      </c>
      <c r="D19" s="141">
        <v>841244</v>
      </c>
      <c r="E19" s="83"/>
      <c r="F19" s="10"/>
      <c r="G19" s="64">
        <v>43710</v>
      </c>
      <c r="H19" s="64">
        <v>43753</v>
      </c>
      <c r="I19" s="12" t="s">
        <v>43</v>
      </c>
      <c r="J19" s="12"/>
      <c r="K19" s="52" t="s">
        <v>59</v>
      </c>
      <c r="L19" s="52" t="s">
        <v>101</v>
      </c>
      <c r="M19" s="140" t="s">
        <v>139</v>
      </c>
      <c r="N19" s="7"/>
      <c r="O19" s="7"/>
      <c r="P19" s="49"/>
      <c r="Q19" s="78" t="s">
        <v>131</v>
      </c>
      <c r="R19" s="14" t="s">
        <v>218</v>
      </c>
    </row>
    <row r="20" spans="1:18" ht="55.5" customHeight="1" x14ac:dyDescent="0.25">
      <c r="A20" s="88">
        <v>3</v>
      </c>
      <c r="B20" s="89" t="s">
        <v>136</v>
      </c>
      <c r="C20" s="90" t="s">
        <v>137</v>
      </c>
      <c r="D20" s="127">
        <v>68908</v>
      </c>
      <c r="E20" s="137"/>
      <c r="F20" s="91"/>
      <c r="G20" s="92">
        <v>43864</v>
      </c>
      <c r="H20" s="92">
        <v>43889</v>
      </c>
      <c r="I20" s="93" t="s">
        <v>80</v>
      </c>
      <c r="J20" s="93"/>
      <c r="K20" s="94" t="s">
        <v>24</v>
      </c>
      <c r="L20" s="52"/>
      <c r="M20" s="12" t="s">
        <v>190</v>
      </c>
      <c r="N20" s="7"/>
      <c r="O20" s="7"/>
      <c r="P20" s="49"/>
      <c r="Q20" s="78" t="s">
        <v>131</v>
      </c>
    </row>
    <row r="21" spans="1:18" ht="73.5" customHeight="1" x14ac:dyDescent="0.25">
      <c r="A21" s="81">
        <v>4</v>
      </c>
      <c r="B21" s="63" t="s">
        <v>138</v>
      </c>
      <c r="C21" s="62" t="s">
        <v>73</v>
      </c>
      <c r="D21" s="119">
        <v>91600</v>
      </c>
      <c r="E21" s="83"/>
      <c r="F21" s="10"/>
      <c r="G21" s="64">
        <v>44230</v>
      </c>
      <c r="H21" s="64">
        <v>44255</v>
      </c>
      <c r="I21" s="12" t="s">
        <v>80</v>
      </c>
      <c r="J21" s="12"/>
      <c r="K21" s="52" t="s">
        <v>14</v>
      </c>
      <c r="L21" s="52" t="s">
        <v>101</v>
      </c>
      <c r="M21" s="12"/>
      <c r="N21" s="7"/>
      <c r="O21" s="7"/>
      <c r="P21" s="49"/>
      <c r="Q21" s="78" t="s">
        <v>131</v>
      </c>
    </row>
    <row r="22" spans="1:18" ht="73.5" customHeight="1" x14ac:dyDescent="0.25">
      <c r="A22" s="121">
        <v>1</v>
      </c>
      <c r="B22" s="51" t="s">
        <v>175</v>
      </c>
      <c r="C22" s="62" t="s">
        <v>176</v>
      </c>
      <c r="D22" s="115">
        <v>63385</v>
      </c>
      <c r="E22" s="115"/>
      <c r="F22" s="116"/>
      <c r="G22" s="64">
        <v>43405</v>
      </c>
      <c r="H22" s="64">
        <v>43423</v>
      </c>
      <c r="I22" s="52" t="s">
        <v>80</v>
      </c>
      <c r="J22" s="52"/>
      <c r="K22" s="52" t="s">
        <v>14</v>
      </c>
      <c r="L22" s="52" t="s">
        <v>104</v>
      </c>
      <c r="M22" s="12"/>
      <c r="N22" s="7"/>
      <c r="O22" s="7"/>
      <c r="P22" s="49"/>
      <c r="Q22" s="78" t="s">
        <v>113</v>
      </c>
    </row>
    <row r="23" spans="1:18" ht="73.5" customHeight="1" x14ac:dyDescent="0.25">
      <c r="A23" s="121">
        <v>2</v>
      </c>
      <c r="B23" s="51" t="s">
        <v>177</v>
      </c>
      <c r="C23" s="62" t="s">
        <v>135</v>
      </c>
      <c r="D23" s="115">
        <v>260295</v>
      </c>
      <c r="E23" s="115">
        <v>45000</v>
      </c>
      <c r="F23" s="116"/>
      <c r="G23" s="64">
        <v>43577</v>
      </c>
      <c r="H23" s="64">
        <v>43601</v>
      </c>
      <c r="I23" s="52" t="s">
        <v>43</v>
      </c>
      <c r="J23" s="52"/>
      <c r="K23" s="52" t="s">
        <v>14</v>
      </c>
      <c r="L23" s="52" t="s">
        <v>104</v>
      </c>
      <c r="M23" s="52" t="s">
        <v>208</v>
      </c>
      <c r="N23" s="7"/>
      <c r="O23" s="7"/>
      <c r="P23" s="49"/>
      <c r="Q23" s="78" t="s">
        <v>113</v>
      </c>
    </row>
    <row r="24" spans="1:18" ht="73.5" customHeight="1" x14ac:dyDescent="0.25">
      <c r="A24" s="32">
        <v>3</v>
      </c>
      <c r="B24" s="8" t="s">
        <v>178</v>
      </c>
      <c r="C24" s="9" t="s">
        <v>179</v>
      </c>
      <c r="D24" s="83">
        <v>50420.4</v>
      </c>
      <c r="E24" s="83" t="s">
        <v>186</v>
      </c>
      <c r="F24" s="10"/>
      <c r="G24" s="11">
        <v>43709</v>
      </c>
      <c r="H24" s="11">
        <v>43723</v>
      </c>
      <c r="I24" s="12" t="s">
        <v>80</v>
      </c>
      <c r="J24" s="12"/>
      <c r="K24" s="84" t="s">
        <v>30</v>
      </c>
      <c r="L24" s="52" t="s">
        <v>104</v>
      </c>
      <c r="M24" s="12" t="s">
        <v>187</v>
      </c>
      <c r="N24" s="7"/>
      <c r="O24" s="7"/>
      <c r="P24" s="49"/>
      <c r="Q24" s="78" t="s">
        <v>113</v>
      </c>
    </row>
    <row r="25" spans="1:18" ht="73.5" customHeight="1" x14ac:dyDescent="0.25">
      <c r="A25" s="32">
        <v>1</v>
      </c>
      <c r="B25" s="111" t="s">
        <v>205</v>
      </c>
      <c r="C25" s="118" t="s">
        <v>155</v>
      </c>
      <c r="D25" s="120">
        <v>453780</v>
      </c>
      <c r="E25" s="115"/>
      <c r="F25" s="116"/>
      <c r="G25" s="117">
        <v>43797</v>
      </c>
      <c r="H25" s="117">
        <v>43839</v>
      </c>
      <c r="I25" s="52" t="s">
        <v>43</v>
      </c>
      <c r="J25" s="52" t="s">
        <v>63</v>
      </c>
      <c r="K25" s="87" t="s">
        <v>20</v>
      </c>
      <c r="L25" s="84" t="s">
        <v>103</v>
      </c>
      <c r="M25" s="84" t="s">
        <v>206</v>
      </c>
      <c r="N25" s="7"/>
      <c r="O25" s="7"/>
      <c r="P25" s="49"/>
      <c r="Q25" s="78" t="s">
        <v>203</v>
      </c>
    </row>
    <row r="26" spans="1:18" ht="70.5" customHeight="1" x14ac:dyDescent="0.25">
      <c r="A26" s="32">
        <v>1</v>
      </c>
      <c r="B26" s="65" t="s">
        <v>141</v>
      </c>
      <c r="C26" s="66" t="s">
        <v>140</v>
      </c>
      <c r="D26" s="128">
        <v>5142899.01</v>
      </c>
      <c r="E26" s="138">
        <f>457800+4115100</f>
        <v>4572900</v>
      </c>
      <c r="F26" s="95">
        <f>457800+4115100</f>
        <v>4572900</v>
      </c>
      <c r="G26" s="67">
        <v>43374</v>
      </c>
      <c r="H26" s="67">
        <v>43524</v>
      </c>
      <c r="I26" s="52" t="s">
        <v>13</v>
      </c>
      <c r="J26" s="12"/>
      <c r="K26" s="52" t="s">
        <v>24</v>
      </c>
      <c r="L26" s="12" t="s">
        <v>104</v>
      </c>
      <c r="M26" s="12"/>
      <c r="N26" s="7"/>
      <c r="O26" s="7"/>
      <c r="P26" s="49"/>
      <c r="Q26" s="78" t="s">
        <v>114</v>
      </c>
    </row>
    <row r="27" spans="1:18" ht="77.25" customHeight="1" x14ac:dyDescent="0.25">
      <c r="A27" s="13">
        <v>2</v>
      </c>
      <c r="B27" s="65" t="s">
        <v>142</v>
      </c>
      <c r="C27" s="66" t="s">
        <v>140</v>
      </c>
      <c r="D27" s="128">
        <v>581512.6</v>
      </c>
      <c r="E27" s="138">
        <v>532732</v>
      </c>
      <c r="F27" s="95">
        <v>532732</v>
      </c>
      <c r="G27" s="113">
        <v>43551</v>
      </c>
      <c r="H27" s="113">
        <v>43671</v>
      </c>
      <c r="I27" s="52" t="s">
        <v>13</v>
      </c>
      <c r="J27" s="12"/>
      <c r="K27" s="52" t="s">
        <v>24</v>
      </c>
      <c r="L27" s="96" t="s">
        <v>104</v>
      </c>
      <c r="M27" s="12"/>
      <c r="N27" s="7"/>
      <c r="O27" s="7"/>
      <c r="P27" s="49"/>
      <c r="Q27" s="78" t="s">
        <v>114</v>
      </c>
    </row>
    <row r="28" spans="1:18" ht="55.5" customHeight="1" x14ac:dyDescent="0.25">
      <c r="A28" s="32">
        <v>3</v>
      </c>
      <c r="B28" s="65" t="s">
        <v>143</v>
      </c>
      <c r="C28" s="68" t="s">
        <v>144</v>
      </c>
      <c r="D28" s="128">
        <v>33179</v>
      </c>
      <c r="E28" s="83">
        <v>8820</v>
      </c>
      <c r="F28" s="10">
        <v>8820</v>
      </c>
      <c r="G28" s="113">
        <v>43630</v>
      </c>
      <c r="H28" s="113">
        <v>43670</v>
      </c>
      <c r="I28" s="12" t="s">
        <v>80</v>
      </c>
      <c r="J28" s="12"/>
      <c r="K28" s="12" t="s">
        <v>24</v>
      </c>
      <c r="L28" s="12" t="s">
        <v>104</v>
      </c>
      <c r="M28" s="87"/>
      <c r="N28" s="7"/>
      <c r="O28" s="7"/>
      <c r="P28" s="49"/>
      <c r="Q28" s="78" t="s">
        <v>114</v>
      </c>
    </row>
    <row r="29" spans="1:18" ht="55.5" customHeight="1" x14ac:dyDescent="0.25">
      <c r="A29" s="13">
        <v>10</v>
      </c>
      <c r="B29" s="69" t="s">
        <v>145</v>
      </c>
      <c r="C29" s="70" t="s">
        <v>146</v>
      </c>
      <c r="D29" s="129">
        <v>20592</v>
      </c>
      <c r="E29" s="83"/>
      <c r="F29" s="10"/>
      <c r="G29" s="71">
        <v>43508</v>
      </c>
      <c r="H29" s="71">
        <v>43555</v>
      </c>
      <c r="I29" s="12" t="s">
        <v>80</v>
      </c>
      <c r="J29" s="12"/>
      <c r="K29" s="12" t="s">
        <v>35</v>
      </c>
      <c r="L29" s="12" t="s">
        <v>41</v>
      </c>
      <c r="M29" s="12"/>
      <c r="N29" s="7"/>
      <c r="O29" s="7"/>
      <c r="P29" s="49"/>
      <c r="Q29" s="78" t="s">
        <v>116</v>
      </c>
    </row>
    <row r="30" spans="1:18" ht="55.5" customHeight="1" x14ac:dyDescent="0.25">
      <c r="A30" s="32">
        <v>11</v>
      </c>
      <c r="B30" s="69" t="s">
        <v>147</v>
      </c>
      <c r="C30" s="70" t="s">
        <v>135</v>
      </c>
      <c r="D30" s="129">
        <v>7856.5</v>
      </c>
      <c r="E30" s="83"/>
      <c r="F30" s="10"/>
      <c r="G30" s="114">
        <v>43689</v>
      </c>
      <c r="H30" s="114">
        <v>43700</v>
      </c>
      <c r="I30" s="12" t="s">
        <v>43</v>
      </c>
      <c r="J30" s="12"/>
      <c r="K30" s="12" t="s">
        <v>35</v>
      </c>
      <c r="L30" s="12" t="s">
        <v>100</v>
      </c>
      <c r="M30" s="12"/>
      <c r="N30" s="7"/>
      <c r="O30" s="7"/>
      <c r="P30" s="49"/>
      <c r="Q30" s="78" t="s">
        <v>116</v>
      </c>
    </row>
    <row r="31" spans="1:18" ht="173.25" customHeight="1" x14ac:dyDescent="0.25">
      <c r="A31" s="32">
        <v>1</v>
      </c>
      <c r="B31" s="72" t="s">
        <v>148</v>
      </c>
      <c r="C31" s="73" t="s">
        <v>149</v>
      </c>
      <c r="D31" s="130">
        <v>140000</v>
      </c>
      <c r="E31" s="83"/>
      <c r="F31" s="10"/>
      <c r="G31" s="75">
        <v>43549</v>
      </c>
      <c r="H31" s="75">
        <v>43585</v>
      </c>
      <c r="I31" s="12" t="s">
        <v>19</v>
      </c>
      <c r="J31" s="12"/>
      <c r="K31" s="12" t="s">
        <v>30</v>
      </c>
      <c r="L31" s="12" t="s">
        <v>101</v>
      </c>
      <c r="M31" s="12"/>
      <c r="N31" s="7"/>
      <c r="O31" s="7"/>
      <c r="P31" s="49"/>
      <c r="Q31" s="78" t="s">
        <v>117</v>
      </c>
    </row>
    <row r="32" spans="1:18" ht="144" customHeight="1" x14ac:dyDescent="0.25">
      <c r="A32" s="32">
        <v>2</v>
      </c>
      <c r="B32" s="72" t="s">
        <v>150</v>
      </c>
      <c r="C32" s="74" t="s">
        <v>151</v>
      </c>
      <c r="D32" s="130">
        <v>71700</v>
      </c>
      <c r="E32" s="83"/>
      <c r="F32" s="10"/>
      <c r="G32" s="75">
        <v>43541</v>
      </c>
      <c r="H32" s="75">
        <v>43585</v>
      </c>
      <c r="I32" s="12" t="s">
        <v>19</v>
      </c>
      <c r="J32" s="12"/>
      <c r="K32" s="12" t="s">
        <v>30</v>
      </c>
      <c r="L32" s="12" t="s">
        <v>101</v>
      </c>
      <c r="M32" s="12"/>
      <c r="N32" s="7"/>
      <c r="O32" s="7"/>
      <c r="P32" s="49"/>
      <c r="Q32" s="78" t="s">
        <v>117</v>
      </c>
    </row>
    <row r="33" spans="1:17" ht="71.25" customHeight="1" x14ac:dyDescent="0.25">
      <c r="A33" s="32">
        <v>3</v>
      </c>
      <c r="B33" s="72" t="s">
        <v>152</v>
      </c>
      <c r="C33" s="74" t="s">
        <v>153</v>
      </c>
      <c r="D33" s="130">
        <v>72400</v>
      </c>
      <c r="E33" s="83"/>
      <c r="F33" s="10"/>
      <c r="G33" s="75">
        <v>43525</v>
      </c>
      <c r="H33" s="75">
        <v>43556</v>
      </c>
      <c r="I33" s="12" t="s">
        <v>80</v>
      </c>
      <c r="J33" s="12"/>
      <c r="K33" s="12" t="s">
        <v>30</v>
      </c>
      <c r="L33" s="12" t="s">
        <v>104</v>
      </c>
      <c r="M33" s="12"/>
      <c r="N33" s="7"/>
      <c r="O33" s="7"/>
      <c r="P33" s="49"/>
      <c r="Q33" s="78" t="s">
        <v>117</v>
      </c>
    </row>
    <row r="34" spans="1:17" ht="67.5" customHeight="1" x14ac:dyDescent="0.25">
      <c r="A34" s="32">
        <v>4</v>
      </c>
      <c r="B34" s="72" t="s">
        <v>154</v>
      </c>
      <c r="C34" s="74" t="s">
        <v>155</v>
      </c>
      <c r="D34" s="131">
        <v>3663.87</v>
      </c>
      <c r="E34" s="83"/>
      <c r="F34" s="10"/>
      <c r="G34" s="75">
        <v>43544</v>
      </c>
      <c r="H34" s="75">
        <v>43565</v>
      </c>
      <c r="I34" s="12" t="s">
        <v>80</v>
      </c>
      <c r="J34" s="12"/>
      <c r="K34" s="12" t="s">
        <v>30</v>
      </c>
      <c r="L34" s="12" t="s">
        <v>104</v>
      </c>
      <c r="M34" s="12"/>
      <c r="N34" s="7"/>
      <c r="O34" s="7"/>
      <c r="P34" s="49"/>
      <c r="Q34" s="78" t="s">
        <v>117</v>
      </c>
    </row>
    <row r="35" spans="1:17" ht="67.5" customHeight="1" x14ac:dyDescent="0.25">
      <c r="A35" s="32">
        <v>5</v>
      </c>
      <c r="B35" s="72" t="s">
        <v>156</v>
      </c>
      <c r="C35" s="74" t="s">
        <v>133</v>
      </c>
      <c r="D35" s="130">
        <v>133620</v>
      </c>
      <c r="E35" s="83"/>
      <c r="F35" s="10"/>
      <c r="G35" s="75">
        <v>43536</v>
      </c>
      <c r="H35" s="75">
        <v>43556</v>
      </c>
      <c r="I35" s="12" t="s">
        <v>43</v>
      </c>
      <c r="J35" s="12"/>
      <c r="K35" s="12" t="s">
        <v>30</v>
      </c>
      <c r="L35" s="12" t="s">
        <v>101</v>
      </c>
      <c r="M35" s="12"/>
      <c r="N35" s="7"/>
      <c r="O35" s="7"/>
      <c r="P35" s="49"/>
      <c r="Q35" s="78" t="s">
        <v>117</v>
      </c>
    </row>
    <row r="36" spans="1:17" ht="36" x14ac:dyDescent="0.25">
      <c r="A36" s="32">
        <v>6</v>
      </c>
      <c r="B36" s="72" t="s">
        <v>157</v>
      </c>
      <c r="C36" s="74" t="s">
        <v>158</v>
      </c>
      <c r="D36" s="130">
        <v>1600</v>
      </c>
      <c r="E36" s="48"/>
      <c r="F36" s="30"/>
      <c r="G36" s="75">
        <v>43539</v>
      </c>
      <c r="H36" s="75">
        <v>43570</v>
      </c>
      <c r="I36" s="12" t="s">
        <v>79</v>
      </c>
      <c r="J36" s="31"/>
      <c r="K36" s="12" t="s">
        <v>30</v>
      </c>
      <c r="L36" s="12" t="s">
        <v>104</v>
      </c>
      <c r="M36" s="31"/>
      <c r="N36" s="7"/>
      <c r="O36" s="7"/>
      <c r="P36" s="49"/>
      <c r="Q36" s="78" t="s">
        <v>117</v>
      </c>
    </row>
    <row r="37" spans="1:17" ht="53.25" customHeight="1" x14ac:dyDescent="0.25">
      <c r="A37" s="32">
        <v>7</v>
      </c>
      <c r="B37" s="72" t="s">
        <v>159</v>
      </c>
      <c r="C37" s="74" t="s">
        <v>160</v>
      </c>
      <c r="D37" s="130">
        <v>500000</v>
      </c>
      <c r="E37" s="48"/>
      <c r="F37" s="30"/>
      <c r="G37" s="75">
        <v>43529</v>
      </c>
      <c r="H37" s="75">
        <v>43585</v>
      </c>
      <c r="I37" s="31" t="s">
        <v>43</v>
      </c>
      <c r="J37" s="31"/>
      <c r="K37" s="12" t="s">
        <v>30</v>
      </c>
      <c r="L37" s="12" t="s">
        <v>101</v>
      </c>
      <c r="M37" s="47"/>
      <c r="N37" s="7"/>
      <c r="O37" s="7"/>
      <c r="P37" s="50"/>
      <c r="Q37" s="78" t="s">
        <v>117</v>
      </c>
    </row>
    <row r="38" spans="1:17" ht="47.25" customHeight="1" x14ac:dyDescent="0.25">
      <c r="A38" s="32">
        <v>8</v>
      </c>
      <c r="B38" s="72" t="s">
        <v>161</v>
      </c>
      <c r="C38" s="74" t="s">
        <v>162</v>
      </c>
      <c r="D38" s="130">
        <v>11700</v>
      </c>
      <c r="E38" s="83"/>
      <c r="F38" s="10"/>
      <c r="G38" s="75">
        <v>43531</v>
      </c>
      <c r="H38" s="75">
        <v>43562</v>
      </c>
      <c r="I38" s="12" t="s">
        <v>80</v>
      </c>
      <c r="J38" s="12"/>
      <c r="K38" s="12" t="s">
        <v>30</v>
      </c>
      <c r="L38" s="12" t="s">
        <v>103</v>
      </c>
      <c r="M38" s="12"/>
      <c r="N38" s="7"/>
      <c r="O38" s="19"/>
      <c r="P38" s="20"/>
      <c r="Q38" s="78" t="s">
        <v>117</v>
      </c>
    </row>
    <row r="39" spans="1:17" ht="52.5" customHeight="1" x14ac:dyDescent="0.25">
      <c r="A39" s="32">
        <v>9</v>
      </c>
      <c r="B39" s="72" t="s">
        <v>163</v>
      </c>
      <c r="C39" s="74" t="s">
        <v>164</v>
      </c>
      <c r="D39" s="130">
        <v>50000</v>
      </c>
      <c r="E39" s="83"/>
      <c r="F39" s="10"/>
      <c r="G39" s="75">
        <v>43534</v>
      </c>
      <c r="H39" s="75">
        <v>43575</v>
      </c>
      <c r="I39" s="12" t="s">
        <v>80</v>
      </c>
      <c r="J39" s="12"/>
      <c r="K39" s="12" t="s">
        <v>30</v>
      </c>
      <c r="L39" s="12" t="s">
        <v>102</v>
      </c>
      <c r="M39" s="12"/>
      <c r="N39" s="1"/>
      <c r="O39" s="23"/>
      <c r="P39" s="4"/>
      <c r="Q39" s="78" t="s">
        <v>117</v>
      </c>
    </row>
    <row r="40" spans="1:17" ht="28.5" customHeight="1" x14ac:dyDescent="0.25">
      <c r="A40" s="32">
        <v>10</v>
      </c>
      <c r="B40" s="72" t="s">
        <v>165</v>
      </c>
      <c r="C40" s="74" t="s">
        <v>166</v>
      </c>
      <c r="D40" s="131">
        <v>13454.57</v>
      </c>
      <c r="E40" s="83"/>
      <c r="F40" s="10"/>
      <c r="G40" s="75">
        <v>43557</v>
      </c>
      <c r="H40" s="75">
        <v>43575</v>
      </c>
      <c r="I40" s="12" t="s">
        <v>80</v>
      </c>
      <c r="J40" s="12"/>
      <c r="K40" s="12" t="s">
        <v>30</v>
      </c>
      <c r="L40" s="12" t="s">
        <v>101</v>
      </c>
      <c r="M40" s="12"/>
      <c r="N40" s="7"/>
      <c r="O40" s="19"/>
      <c r="P40" s="21"/>
      <c r="Q40" s="78" t="s">
        <v>117</v>
      </c>
    </row>
    <row r="41" spans="1:17" ht="27.75" customHeight="1" x14ac:dyDescent="0.25">
      <c r="A41" s="32">
        <v>11</v>
      </c>
      <c r="B41" s="72" t="s">
        <v>167</v>
      </c>
      <c r="C41" s="74" t="s">
        <v>168</v>
      </c>
      <c r="D41" s="131">
        <v>11022.68</v>
      </c>
      <c r="E41" s="122"/>
      <c r="F41" s="10"/>
      <c r="G41" s="75">
        <v>43556</v>
      </c>
      <c r="H41" s="75">
        <v>43585</v>
      </c>
      <c r="I41" s="12" t="s">
        <v>80</v>
      </c>
      <c r="J41" s="12"/>
      <c r="K41" s="12" t="s">
        <v>30</v>
      </c>
      <c r="L41" s="12" t="s">
        <v>101</v>
      </c>
      <c r="M41" s="12"/>
      <c r="N41" s="7"/>
      <c r="O41" s="7"/>
      <c r="Q41" s="78" t="s">
        <v>117</v>
      </c>
    </row>
    <row r="42" spans="1:17" ht="57.75" customHeight="1" x14ac:dyDescent="0.25">
      <c r="A42" s="32">
        <v>12</v>
      </c>
      <c r="B42" s="72" t="s">
        <v>169</v>
      </c>
      <c r="C42" s="74" t="s">
        <v>170</v>
      </c>
      <c r="D42" s="130">
        <v>900</v>
      </c>
      <c r="E42" s="122"/>
      <c r="F42" s="10"/>
      <c r="G42" s="75">
        <v>43560</v>
      </c>
      <c r="H42" s="75">
        <v>43570</v>
      </c>
      <c r="I42" s="12" t="s">
        <v>79</v>
      </c>
      <c r="J42" s="12"/>
      <c r="K42" s="12" t="s">
        <v>30</v>
      </c>
      <c r="L42" s="12" t="s">
        <v>101</v>
      </c>
      <c r="M42" s="12"/>
      <c r="N42" s="7"/>
      <c r="O42" s="7"/>
      <c r="Q42" s="78" t="s">
        <v>117</v>
      </c>
    </row>
    <row r="43" spans="1:17" ht="57.75" customHeight="1" x14ac:dyDescent="0.25">
      <c r="A43" s="32">
        <v>13</v>
      </c>
      <c r="B43" s="72" t="s">
        <v>171</v>
      </c>
      <c r="C43" s="74" t="s">
        <v>172</v>
      </c>
      <c r="D43" s="130">
        <v>600</v>
      </c>
      <c r="E43" s="122"/>
      <c r="F43" s="10"/>
      <c r="G43" s="75">
        <v>43561</v>
      </c>
      <c r="H43" s="75">
        <v>43571</v>
      </c>
      <c r="I43" s="12" t="s">
        <v>79</v>
      </c>
      <c r="J43" s="12"/>
      <c r="K43" s="12" t="s">
        <v>30</v>
      </c>
      <c r="L43" s="12" t="s">
        <v>101</v>
      </c>
      <c r="M43" s="12"/>
      <c r="N43" s="7"/>
      <c r="O43" s="7"/>
      <c r="Q43" s="78" t="s">
        <v>117</v>
      </c>
    </row>
    <row r="44" spans="1:17" ht="72" x14ac:dyDescent="0.25">
      <c r="A44" s="32">
        <v>14</v>
      </c>
      <c r="B44" s="72" t="s">
        <v>173</v>
      </c>
      <c r="C44" s="74" t="s">
        <v>174</v>
      </c>
      <c r="D44" s="130">
        <v>2000</v>
      </c>
      <c r="E44" s="122"/>
      <c r="F44" s="10"/>
      <c r="G44" s="75">
        <v>43562</v>
      </c>
      <c r="H44" s="75">
        <v>43572</v>
      </c>
      <c r="I44" s="12" t="s">
        <v>79</v>
      </c>
      <c r="J44" s="12"/>
      <c r="K44" s="12" t="s">
        <v>30</v>
      </c>
      <c r="L44" s="12" t="s">
        <v>101</v>
      </c>
      <c r="M44" s="12"/>
      <c r="N44" s="7"/>
      <c r="O44" s="7"/>
      <c r="Q44" s="78" t="s">
        <v>117</v>
      </c>
    </row>
    <row r="45" spans="1:17" ht="31.5" x14ac:dyDescent="0.25">
      <c r="A45" s="79">
        <v>1</v>
      </c>
      <c r="B45" s="51" t="s">
        <v>191</v>
      </c>
      <c r="C45" s="54" t="s">
        <v>135</v>
      </c>
      <c r="D45" s="120">
        <v>130000</v>
      </c>
      <c r="E45" s="120">
        <v>130000</v>
      </c>
      <c r="F45" s="100"/>
      <c r="G45" s="58">
        <v>43647</v>
      </c>
      <c r="H45" s="58">
        <v>43678</v>
      </c>
      <c r="I45" s="12" t="s">
        <v>80</v>
      </c>
      <c r="J45" s="102"/>
      <c r="K45" s="102" t="s">
        <v>21</v>
      </c>
      <c r="L45" s="12" t="s">
        <v>101</v>
      </c>
      <c r="M45" s="105" t="s">
        <v>197</v>
      </c>
      <c r="N45" s="103"/>
      <c r="O45" s="103"/>
      <c r="P45" s="85"/>
      <c r="Q45" s="104" t="s">
        <v>115</v>
      </c>
    </row>
    <row r="46" spans="1:17" ht="29.25" customHeight="1" x14ac:dyDescent="0.25">
      <c r="A46" s="79">
        <v>2</v>
      </c>
      <c r="B46" s="51" t="s">
        <v>192</v>
      </c>
      <c r="C46" s="56" t="s">
        <v>144</v>
      </c>
      <c r="D46" s="120">
        <v>42000</v>
      </c>
      <c r="E46" s="120">
        <v>42000</v>
      </c>
      <c r="F46" s="100">
        <v>21480</v>
      </c>
      <c r="G46" s="58">
        <v>43626</v>
      </c>
      <c r="H46" s="86">
        <v>43664</v>
      </c>
      <c r="I46" s="12" t="s">
        <v>80</v>
      </c>
      <c r="J46" s="102"/>
      <c r="K46" s="102" t="s">
        <v>21</v>
      </c>
      <c r="L46" s="12" t="s">
        <v>104</v>
      </c>
      <c r="M46" s="105"/>
      <c r="N46" s="103"/>
      <c r="O46" s="103"/>
      <c r="P46" s="85"/>
      <c r="Q46" s="104" t="s">
        <v>115</v>
      </c>
    </row>
    <row r="47" spans="1:17" ht="42.75" customHeight="1" x14ac:dyDescent="0.25">
      <c r="A47" s="79">
        <v>3</v>
      </c>
      <c r="B47" s="51" t="s">
        <v>193</v>
      </c>
      <c r="C47" s="52" t="s">
        <v>194</v>
      </c>
      <c r="D47" s="125">
        <v>22900</v>
      </c>
      <c r="E47" s="125">
        <v>22900</v>
      </c>
      <c r="F47" s="100">
        <v>19804</v>
      </c>
      <c r="G47" s="58">
        <v>43631</v>
      </c>
      <c r="H47" s="86">
        <v>43636</v>
      </c>
      <c r="I47" s="12" t="s">
        <v>80</v>
      </c>
      <c r="J47" s="102"/>
      <c r="K47" s="102" t="s">
        <v>21</v>
      </c>
      <c r="L47" s="12" t="s">
        <v>104</v>
      </c>
      <c r="M47" s="105"/>
      <c r="N47" s="103"/>
      <c r="O47" s="103"/>
      <c r="P47" s="85"/>
      <c r="Q47" s="104" t="s">
        <v>115</v>
      </c>
    </row>
    <row r="48" spans="1:17" ht="31.5" x14ac:dyDescent="0.25">
      <c r="A48" s="79">
        <v>4</v>
      </c>
      <c r="B48" s="51" t="s">
        <v>195</v>
      </c>
      <c r="C48" s="52" t="s">
        <v>196</v>
      </c>
      <c r="D48" s="125">
        <v>55000</v>
      </c>
      <c r="E48" s="125">
        <v>55000</v>
      </c>
      <c r="F48" s="100"/>
      <c r="G48" s="58">
        <v>43628</v>
      </c>
      <c r="H48" s="58">
        <v>43658</v>
      </c>
      <c r="I48" s="12" t="s">
        <v>80</v>
      </c>
      <c r="J48" s="102"/>
      <c r="K48" s="102" t="s">
        <v>21</v>
      </c>
      <c r="L48" s="12" t="s">
        <v>101</v>
      </c>
      <c r="M48" s="105" t="s">
        <v>197</v>
      </c>
      <c r="N48" s="103"/>
      <c r="O48" s="103"/>
      <c r="P48" s="85"/>
      <c r="Q48" s="104" t="s">
        <v>115</v>
      </c>
    </row>
    <row r="49" spans="1:17" ht="18.75" x14ac:dyDescent="0.25">
      <c r="A49" s="97"/>
      <c r="B49" s="98"/>
      <c r="C49" s="99"/>
      <c r="D49" s="132"/>
      <c r="E49" s="139"/>
      <c r="F49" s="100"/>
      <c r="G49" s="101"/>
      <c r="H49" s="101"/>
      <c r="I49" s="102"/>
      <c r="J49" s="102"/>
      <c r="K49" s="102"/>
      <c r="L49" s="102"/>
      <c r="M49" s="102"/>
      <c r="N49" s="103"/>
      <c r="O49" s="103"/>
      <c r="P49" s="85"/>
      <c r="Q49" s="104"/>
    </row>
    <row r="50" spans="1:17" ht="18.75" x14ac:dyDescent="0.25">
      <c r="A50" s="97"/>
      <c r="B50" s="98"/>
      <c r="C50" s="99"/>
      <c r="D50" s="132"/>
      <c r="E50" s="139"/>
      <c r="F50" s="100"/>
      <c r="G50" s="101"/>
      <c r="H50" s="101"/>
      <c r="I50" s="102"/>
      <c r="J50" s="102"/>
      <c r="K50" s="102"/>
      <c r="L50" s="102"/>
      <c r="M50" s="102"/>
      <c r="N50" s="103"/>
      <c r="O50" s="103"/>
      <c r="P50" s="85"/>
      <c r="Q50" s="104"/>
    </row>
    <row r="51" spans="1:17" ht="24.75" customHeight="1" x14ac:dyDescent="0.25">
      <c r="A51" s="17" t="s">
        <v>55</v>
      </c>
      <c r="B51" s="15"/>
      <c r="C51" s="17"/>
      <c r="D51" s="133" t="e">
        <f>SUBTOTAL(109,#REF!)</f>
        <v>#REF!</v>
      </c>
      <c r="E51" s="106">
        <f>SUBTOTAL(109,Tabel_Proiecte[[Valoarea estimată  pentru 2021 lei fără TVA ]])</f>
        <v>5409352</v>
      </c>
      <c r="F51" s="106"/>
      <c r="G51" s="17"/>
      <c r="H51" s="17"/>
      <c r="I51" s="19"/>
      <c r="J51" s="19"/>
      <c r="K51" s="19"/>
      <c r="L51" s="19"/>
      <c r="M51" s="19"/>
      <c r="N51" s="19"/>
      <c r="O51" s="19"/>
      <c r="Q51" s="109"/>
    </row>
    <row r="52" spans="1:17" x14ac:dyDescent="0.25">
      <c r="A52" s="17"/>
      <c r="B52" s="197" t="s">
        <v>58</v>
      </c>
      <c r="C52" s="197"/>
      <c r="D52" s="197"/>
      <c r="E52" s="17"/>
      <c r="F52" s="17"/>
      <c r="G52" s="18"/>
      <c r="H52" s="18"/>
      <c r="I52" s="19"/>
      <c r="J52" s="19"/>
      <c r="K52" s="199" t="s">
        <v>46</v>
      </c>
      <c r="L52" s="199"/>
      <c r="M52" s="199"/>
    </row>
    <row r="53" spans="1:17" ht="15" customHeight="1" x14ac:dyDescent="0.25">
      <c r="B53" s="197" t="s">
        <v>61</v>
      </c>
      <c r="C53" s="197"/>
      <c r="D53" s="197"/>
      <c r="E53" s="17"/>
      <c r="F53" s="17"/>
      <c r="G53" s="17"/>
      <c r="H53" s="17"/>
      <c r="I53" s="19"/>
      <c r="J53" s="19"/>
      <c r="K53" s="199" t="s">
        <v>107</v>
      </c>
      <c r="L53" s="199"/>
      <c r="M53" s="199"/>
    </row>
    <row r="54" spans="1:17" ht="15" customHeight="1" x14ac:dyDescent="0.25">
      <c r="B54" s="197" t="s">
        <v>47</v>
      </c>
      <c r="C54" s="197"/>
      <c r="D54" s="197"/>
      <c r="E54" s="17"/>
      <c r="F54" s="17"/>
      <c r="G54" s="17"/>
      <c r="H54" s="17"/>
      <c r="I54" s="19"/>
      <c r="J54" s="19"/>
      <c r="K54" s="200" t="s">
        <v>108</v>
      </c>
      <c r="L54" s="200"/>
      <c r="M54" s="200"/>
    </row>
    <row r="55" spans="1:17" ht="15" customHeight="1" x14ac:dyDescent="0.25">
      <c r="B55" s="19"/>
      <c r="C55" s="19"/>
      <c r="D55" s="134"/>
      <c r="E55" s="17"/>
      <c r="F55" s="17"/>
      <c r="G55" s="17"/>
      <c r="H55" s="17"/>
      <c r="I55" s="19"/>
      <c r="J55" s="19"/>
      <c r="K55" s="17"/>
      <c r="L55" s="17"/>
      <c r="M55" s="17"/>
    </row>
    <row r="56" spans="1:17" ht="15" customHeight="1" x14ac:dyDescent="0.25">
      <c r="B56" s="19"/>
      <c r="C56" s="19"/>
      <c r="D56" s="134"/>
      <c r="E56" s="17"/>
      <c r="F56" s="17"/>
      <c r="G56" s="17"/>
      <c r="H56" s="17"/>
      <c r="I56" s="19"/>
      <c r="J56" s="19"/>
      <c r="K56" s="17"/>
      <c r="L56" s="17"/>
      <c r="M56" s="17"/>
    </row>
    <row r="57" spans="1:17" ht="15" customHeight="1" x14ac:dyDescent="0.25">
      <c r="B57" s="19"/>
      <c r="C57" s="19"/>
      <c r="D57" s="134"/>
      <c r="E57" s="17"/>
      <c r="F57" s="17"/>
      <c r="G57" s="17"/>
      <c r="H57" s="17"/>
      <c r="I57" s="19"/>
      <c r="J57" s="19"/>
      <c r="K57" s="17"/>
      <c r="L57" s="17"/>
      <c r="M57" s="17"/>
    </row>
    <row r="58" spans="1:17" ht="15" customHeight="1" x14ac:dyDescent="0.25">
      <c r="B58" s="197" t="s">
        <v>66</v>
      </c>
      <c r="C58" s="197"/>
      <c r="D58" s="197"/>
      <c r="E58" s="17"/>
      <c r="F58" s="17"/>
      <c r="G58" s="17"/>
      <c r="H58" s="17"/>
      <c r="I58" s="19"/>
      <c r="J58" s="19"/>
      <c r="K58" s="197" t="s">
        <v>66</v>
      </c>
      <c r="L58" s="197"/>
      <c r="M58" s="197"/>
    </row>
    <row r="59" spans="1:17" x14ac:dyDescent="0.25">
      <c r="B59" s="197" t="s">
        <v>68</v>
      </c>
      <c r="C59" s="197"/>
      <c r="D59" s="197"/>
      <c r="E59" s="17"/>
      <c r="F59" s="17"/>
      <c r="G59" s="17"/>
      <c r="H59" s="17"/>
      <c r="I59" s="19"/>
      <c r="J59" s="19"/>
      <c r="K59" s="198" t="s">
        <v>109</v>
      </c>
      <c r="L59" s="198"/>
      <c r="M59" s="198"/>
    </row>
    <row r="60" spans="1:17" x14ac:dyDescent="0.25">
      <c r="B60" s="19"/>
      <c r="C60" s="19"/>
      <c r="D60" s="134"/>
      <c r="E60" s="17"/>
      <c r="F60" s="17"/>
      <c r="G60" s="17"/>
      <c r="H60" s="17"/>
      <c r="I60" s="19"/>
      <c r="J60" s="19"/>
      <c r="K60" s="19"/>
      <c r="L60" s="19"/>
      <c r="M60" s="19"/>
    </row>
    <row r="61" spans="1:17" x14ac:dyDescent="0.25">
      <c r="B61" s="19"/>
      <c r="C61" s="19"/>
      <c r="D61" s="134"/>
      <c r="E61" s="17"/>
      <c r="F61" s="17"/>
      <c r="G61" s="17"/>
      <c r="H61" s="17"/>
      <c r="I61" s="19"/>
      <c r="J61" s="19"/>
      <c r="K61" s="19"/>
      <c r="L61" s="19"/>
      <c r="M61" s="19"/>
    </row>
    <row r="62" spans="1:17" x14ac:dyDescent="0.25">
      <c r="B62" s="15"/>
      <c r="C62" s="17"/>
      <c r="D62" s="135"/>
      <c r="E62" s="17"/>
      <c r="F62" s="17"/>
      <c r="G62" s="17"/>
      <c r="H62" s="17"/>
      <c r="I62" s="19"/>
      <c r="J62" s="19"/>
      <c r="K62" s="19"/>
      <c r="L62" s="19"/>
      <c r="M62" s="17"/>
    </row>
    <row r="63" spans="1:17" x14ac:dyDescent="0.25">
      <c r="B63" s="196" t="s">
        <v>48</v>
      </c>
      <c r="C63" s="196"/>
      <c r="D63" s="196"/>
      <c r="E63" s="17"/>
      <c r="F63" s="17"/>
      <c r="G63" s="17"/>
      <c r="H63" s="17"/>
      <c r="I63" s="19"/>
      <c r="J63" s="19"/>
      <c r="K63" s="19"/>
      <c r="L63" s="19"/>
      <c r="M63" s="17"/>
    </row>
    <row r="64" spans="1:17" x14ac:dyDescent="0.25">
      <c r="B64" s="196" t="s">
        <v>67</v>
      </c>
      <c r="C64" s="196"/>
      <c r="D64" s="196"/>
      <c r="E64" s="17"/>
      <c r="F64" s="17"/>
      <c r="G64" s="17"/>
      <c r="H64" s="17"/>
      <c r="I64" s="19"/>
      <c r="J64" s="19"/>
      <c r="K64" s="19"/>
      <c r="L64" s="19"/>
      <c r="M64" s="17"/>
    </row>
    <row r="65" spans="2:13" x14ac:dyDescent="0.25">
      <c r="B65" s="196" t="s">
        <v>49</v>
      </c>
      <c r="C65" s="196"/>
      <c r="D65" s="196"/>
      <c r="E65" s="17"/>
      <c r="F65" s="17"/>
      <c r="G65" s="17"/>
      <c r="H65" s="17"/>
      <c r="I65" s="19"/>
      <c r="J65" s="19"/>
      <c r="K65" s="19"/>
      <c r="L65" s="19"/>
      <c r="M65" s="17"/>
    </row>
    <row r="66" spans="2:13" x14ac:dyDescent="0.25">
      <c r="B66" s="15"/>
      <c r="C66" s="17"/>
      <c r="D66" s="135"/>
      <c r="E66" s="17"/>
      <c r="F66" s="17"/>
      <c r="G66" s="17"/>
      <c r="H66" s="17"/>
      <c r="I66" s="19"/>
      <c r="J66" s="19"/>
      <c r="K66" s="19"/>
      <c r="L66" s="19"/>
      <c r="M66" s="17"/>
    </row>
    <row r="67" spans="2:13" x14ac:dyDescent="0.25">
      <c r="B67" s="15"/>
      <c r="C67" s="17"/>
      <c r="D67" s="135"/>
      <c r="E67" s="17"/>
      <c r="F67" s="17"/>
      <c r="G67" s="17"/>
      <c r="H67" s="17"/>
      <c r="I67" s="19"/>
      <c r="J67" s="19"/>
      <c r="K67" s="19"/>
      <c r="L67" s="19"/>
      <c r="M67" s="17"/>
    </row>
    <row r="68" spans="2:13" x14ac:dyDescent="0.25">
      <c r="B68" s="15"/>
      <c r="C68" s="17"/>
      <c r="D68" s="135"/>
      <c r="E68" s="17"/>
      <c r="F68" s="17"/>
      <c r="G68" s="17"/>
      <c r="H68" s="17"/>
      <c r="I68" s="19"/>
      <c r="J68" s="19"/>
      <c r="K68" s="19"/>
      <c r="L68" s="19"/>
      <c r="M68" s="17"/>
    </row>
    <row r="69" spans="2:13" x14ac:dyDescent="0.25">
      <c r="B69" s="15"/>
      <c r="C69" s="17"/>
      <c r="D69" s="135"/>
      <c r="E69" s="17"/>
      <c r="F69" s="17"/>
      <c r="G69" s="17"/>
      <c r="H69" s="17"/>
      <c r="I69" s="19"/>
      <c r="J69" s="19"/>
      <c r="K69" s="19"/>
      <c r="L69" s="19"/>
      <c r="M69" s="17"/>
    </row>
  </sheetData>
  <sheetProtection sort="0" autoFilter="0" pivotTables="0"/>
  <mergeCells count="19">
    <mergeCell ref="A6:M6"/>
    <mergeCell ref="I1:M1"/>
    <mergeCell ref="I2:M2"/>
    <mergeCell ref="I3:M3"/>
    <mergeCell ref="A4:M4"/>
    <mergeCell ref="A5:M5"/>
    <mergeCell ref="B52:D52"/>
    <mergeCell ref="K52:M52"/>
    <mergeCell ref="B53:D53"/>
    <mergeCell ref="K53:M53"/>
    <mergeCell ref="B54:D54"/>
    <mergeCell ref="K54:M54"/>
    <mergeCell ref="B65:D65"/>
    <mergeCell ref="B58:D58"/>
    <mergeCell ref="K58:M58"/>
    <mergeCell ref="B59:D59"/>
    <mergeCell ref="K59:M59"/>
    <mergeCell ref="B63:D63"/>
    <mergeCell ref="B64:D64"/>
  </mergeCells>
  <dataValidations count="7">
    <dataValidation type="list" allowBlank="1" showInputMessage="1" showErrorMessage="1" sqref="J9:J50" xr:uid="{00000000-0002-0000-0300-000000000000}">
      <formula1>mod_derulare</formula1>
    </dataValidation>
    <dataValidation type="list" allowBlank="1" showInputMessage="1" showErrorMessage="1" sqref="K9:K50" xr:uid="{00000000-0002-0000-0300-000001000000}">
      <formula1>responsabil_achiz</formula1>
    </dataValidation>
    <dataValidation type="list" allowBlank="1" showInputMessage="1" showErrorMessage="1" sqref="I9:I50" xr:uid="{00000000-0002-0000-0300-000002000000}">
      <formula1>tip_procedura</formula1>
    </dataValidation>
    <dataValidation type="list" allowBlank="1" showInputMessage="1" showErrorMessage="1" sqref="N9:O50" xr:uid="{00000000-0002-0000-0300-000003000000}">
      <formula1>"DA, NU"</formula1>
    </dataValidation>
    <dataValidation type="list" allowBlank="1" showInputMessage="1" showErrorMessage="1" sqref="P9:P50" xr:uid="{00000000-0002-0000-0300-000004000000}">
      <formula1>art_buget</formula1>
    </dataValidation>
    <dataValidation type="list" allowBlank="1" showInputMessage="1" showErrorMessage="1" sqref="L9:L50" xr:uid="{00000000-0002-0000-0300-000005000000}">
      <formula1>status_achiz</formula1>
    </dataValidation>
    <dataValidation type="list" allowBlank="1" showInputMessage="1" showErrorMessage="1" sqref="Q9:Q50" xr:uid="{00000000-0002-0000-0300-000006000000}">
      <formula1>Proiecte</formula1>
    </dataValidation>
  </dataValidations>
  <pageMargins left="0.7" right="0.7" top="0.75" bottom="0.75" header="0.3" footer="0.3"/>
  <pageSetup paperSize="9" scale="16" orientation="landscape" r:id="rId1"/>
  <headerFooter>
    <oddFooter>&amp;RPag. &amp;P/&amp;N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25"/>
  <sheetViews>
    <sheetView workbookViewId="0">
      <selection activeCell="B15" sqref="B15"/>
    </sheetView>
  </sheetViews>
  <sheetFormatPr defaultRowHeight="15" x14ac:dyDescent="0.25"/>
  <cols>
    <col min="1" max="1" width="14" customWidth="1"/>
    <col min="2" max="2" width="46.7109375" bestFit="1" customWidth="1"/>
    <col min="3" max="3" width="20.140625" bestFit="1" customWidth="1"/>
    <col min="4" max="4" width="14.28515625" bestFit="1" customWidth="1"/>
    <col min="5" max="5" width="10.5703125" bestFit="1" customWidth="1"/>
    <col min="6" max="6" width="13.28515625" bestFit="1" customWidth="1"/>
    <col min="7" max="7" width="46.7109375" bestFit="1" customWidth="1"/>
    <col min="8" max="8" width="9.5703125" bestFit="1" customWidth="1"/>
    <col min="9" max="9" width="47.7109375" bestFit="1" customWidth="1"/>
    <col min="10" max="10" width="11.5703125" bestFit="1" customWidth="1"/>
    <col min="11" max="11" width="10.5703125" bestFit="1" customWidth="1"/>
    <col min="12" max="12" width="9.5703125" bestFit="1" customWidth="1"/>
    <col min="13" max="14" width="51.7109375" bestFit="1" customWidth="1"/>
    <col min="15" max="16" width="52.7109375" bestFit="1" customWidth="1"/>
    <col min="17" max="76" width="48.140625" bestFit="1" customWidth="1"/>
    <col min="77" max="77" width="53.140625" bestFit="1" customWidth="1"/>
    <col min="78" max="78" width="51.7109375" bestFit="1" customWidth="1"/>
  </cols>
  <sheetData>
    <row r="1" spans="1:15" x14ac:dyDescent="0.25">
      <c r="A1" s="24" t="s">
        <v>221</v>
      </c>
    </row>
    <row r="2" spans="1:15" x14ac:dyDescent="0.25">
      <c r="A2" s="5" t="s">
        <v>56</v>
      </c>
      <c r="B2" t="s" vm="4">
        <v>75</v>
      </c>
      <c r="C2" s="3" t="s">
        <v>77</v>
      </c>
      <c r="D2" s="22">
        <f>(GETPIVOTDATA("[Measures].[Sum of Valoarea estimată  pentru 2020 lei fără TVA]",$A$4)+GETPIVOTDATA("[Measures].[Sum of Valoarea estimată  pentru 2020 lei fără TVA 2]",$A$4)+GETPIVOTDATA("[Measures].[Sum of Valoarea estimată  pentru 2020 lei fără TVA 3]",$A$4))*1.19</f>
        <v>75473209.784349993</v>
      </c>
    </row>
    <row r="4" spans="1:15" x14ac:dyDescent="0.25">
      <c r="B4" s="5" t="s">
        <v>82</v>
      </c>
    </row>
    <row r="5" spans="1:15" x14ac:dyDescent="0.25">
      <c r="B5" t="s">
        <v>209</v>
      </c>
      <c r="G5" t="s">
        <v>209</v>
      </c>
      <c r="I5" t="s">
        <v>210</v>
      </c>
      <c r="M5" t="s">
        <v>216</v>
      </c>
      <c r="N5" t="s">
        <v>216</v>
      </c>
      <c r="O5" t="s">
        <v>217</v>
      </c>
    </row>
    <row r="6" spans="1:15" x14ac:dyDescent="0.25">
      <c r="A6" s="5" t="s">
        <v>54</v>
      </c>
      <c r="B6" t="s">
        <v>212</v>
      </c>
      <c r="C6" t="s">
        <v>213</v>
      </c>
      <c r="D6" t="s">
        <v>214</v>
      </c>
      <c r="E6" t="s">
        <v>215</v>
      </c>
      <c r="F6" t="s">
        <v>220</v>
      </c>
      <c r="G6" t="s">
        <v>212</v>
      </c>
      <c r="H6" t="s">
        <v>214</v>
      </c>
      <c r="I6" t="s">
        <v>212</v>
      </c>
      <c r="J6" t="s">
        <v>213</v>
      </c>
      <c r="K6" t="s">
        <v>214</v>
      </c>
      <c r="L6" t="s">
        <v>215</v>
      </c>
    </row>
    <row r="7" spans="1:15" x14ac:dyDescent="0.25">
      <c r="A7" s="2" t="s">
        <v>18</v>
      </c>
      <c r="B7" s="6"/>
      <c r="C7" s="6"/>
      <c r="D7" s="6"/>
      <c r="E7" s="6"/>
      <c r="F7" s="6"/>
      <c r="G7" s="6"/>
      <c r="H7" s="6"/>
      <c r="I7" s="6">
        <v>18500</v>
      </c>
      <c r="J7" s="6"/>
      <c r="K7" s="6"/>
      <c r="L7" s="6"/>
      <c r="M7" s="6"/>
      <c r="N7" s="6"/>
      <c r="O7" s="6">
        <v>18500</v>
      </c>
    </row>
    <row r="8" spans="1:15" x14ac:dyDescent="0.25">
      <c r="A8" s="2" t="s">
        <v>29</v>
      </c>
      <c r="B8" s="6"/>
      <c r="C8" s="6">
        <v>274539.41000000003</v>
      </c>
      <c r="D8" s="6"/>
      <c r="E8" s="6"/>
      <c r="F8" s="6"/>
      <c r="G8" s="6"/>
      <c r="H8" s="6"/>
      <c r="I8" s="6">
        <v>16315.96</v>
      </c>
      <c r="J8" s="6"/>
      <c r="K8" s="6"/>
      <c r="L8" s="6"/>
      <c r="M8" s="6">
        <v>274539.41000000003</v>
      </c>
      <c r="N8" s="6"/>
      <c r="O8" s="6">
        <v>16315.96</v>
      </c>
    </row>
    <row r="9" spans="1:15" x14ac:dyDescent="0.25">
      <c r="A9" s="2" t="s">
        <v>28</v>
      </c>
      <c r="B9" s="6">
        <v>279222.3</v>
      </c>
      <c r="C9" s="6"/>
      <c r="D9" s="6">
        <v>440000</v>
      </c>
      <c r="E9" s="6"/>
      <c r="F9" s="6"/>
      <c r="G9" s="6"/>
      <c r="H9" s="6"/>
      <c r="I9" s="6"/>
      <c r="J9" s="6"/>
      <c r="K9" s="6"/>
      <c r="L9" s="6"/>
      <c r="M9" s="6">
        <v>719222.3</v>
      </c>
      <c r="N9" s="6"/>
      <c r="O9" s="6"/>
    </row>
    <row r="10" spans="1:15" x14ac:dyDescent="0.25">
      <c r="A10" s="2" t="s">
        <v>34</v>
      </c>
      <c r="B10" s="6"/>
      <c r="C10" s="6"/>
      <c r="D10" s="6"/>
      <c r="E10" s="6"/>
      <c r="F10" s="6"/>
      <c r="G10" s="6"/>
      <c r="H10" s="6">
        <v>7000</v>
      </c>
      <c r="I10" s="6"/>
      <c r="J10" s="6"/>
      <c r="K10" s="6"/>
      <c r="L10" s="6"/>
      <c r="M10" s="6"/>
      <c r="N10" s="6">
        <v>7000</v>
      </c>
      <c r="O10" s="6"/>
    </row>
    <row r="11" spans="1:15" x14ac:dyDescent="0.25">
      <c r="A11" s="2" t="s">
        <v>57</v>
      </c>
      <c r="B11" s="6"/>
      <c r="C11" s="6"/>
      <c r="D11" s="6"/>
      <c r="E11" s="6">
        <v>26665</v>
      </c>
      <c r="F11" s="6"/>
      <c r="G11" s="6"/>
      <c r="H11" s="6"/>
      <c r="I11" s="6">
        <v>1008.4</v>
      </c>
      <c r="J11" s="6"/>
      <c r="K11" s="6"/>
      <c r="L11" s="6"/>
      <c r="M11" s="6">
        <v>26665</v>
      </c>
      <c r="N11" s="6"/>
      <c r="O11" s="6">
        <v>1008.4</v>
      </c>
    </row>
    <row r="12" spans="1:15" x14ac:dyDescent="0.25">
      <c r="A12" s="2" t="s">
        <v>32</v>
      </c>
      <c r="B12" s="6">
        <v>5000000</v>
      </c>
      <c r="C12" s="6"/>
      <c r="D12" s="6"/>
      <c r="E12" s="6"/>
      <c r="F12" s="6"/>
      <c r="G12" s="6"/>
      <c r="H12" s="6"/>
      <c r="I12" s="6">
        <v>54078.15</v>
      </c>
      <c r="J12" s="6"/>
      <c r="K12" s="6"/>
      <c r="L12" s="6"/>
      <c r="M12" s="6">
        <v>5000000</v>
      </c>
      <c r="N12" s="6"/>
      <c r="O12" s="6">
        <v>54078.15</v>
      </c>
    </row>
    <row r="13" spans="1:15" x14ac:dyDescent="0.25">
      <c r="A13" s="2" t="s">
        <v>23</v>
      </c>
      <c r="B13" s="6"/>
      <c r="C13" s="6">
        <v>134944</v>
      </c>
      <c r="D13" s="6"/>
      <c r="E13" s="6"/>
      <c r="F13" s="6"/>
      <c r="G13" s="6">
        <v>1290000</v>
      </c>
      <c r="H13" s="6"/>
      <c r="I13" s="6">
        <v>64681.17</v>
      </c>
      <c r="J13" s="6">
        <v>79884</v>
      </c>
      <c r="K13" s="6">
        <v>16300</v>
      </c>
      <c r="L13" s="6">
        <v>7677</v>
      </c>
      <c r="M13" s="6">
        <v>134944</v>
      </c>
      <c r="N13" s="6">
        <v>1290000</v>
      </c>
      <c r="O13" s="6">
        <v>168542.16999999998</v>
      </c>
    </row>
    <row r="14" spans="1:15" x14ac:dyDescent="0.25">
      <c r="A14" s="2" t="s">
        <v>45</v>
      </c>
      <c r="B14" s="6"/>
      <c r="C14" s="6"/>
      <c r="D14" s="6"/>
      <c r="E14" s="6"/>
      <c r="F14" s="6"/>
      <c r="G14" s="6"/>
      <c r="H14" s="6"/>
      <c r="I14" s="6">
        <v>9474</v>
      </c>
      <c r="J14" s="6"/>
      <c r="K14" s="6"/>
      <c r="L14" s="6"/>
      <c r="M14" s="6"/>
      <c r="N14" s="6"/>
      <c r="O14" s="6">
        <v>9474</v>
      </c>
    </row>
    <row r="15" spans="1:15" x14ac:dyDescent="0.25">
      <c r="A15" s="2" t="s">
        <v>38</v>
      </c>
      <c r="B15" s="6"/>
      <c r="C15" s="6"/>
      <c r="D15" s="6"/>
      <c r="E15" s="6"/>
      <c r="F15" s="6"/>
      <c r="G15" s="6"/>
      <c r="H15" s="6"/>
      <c r="I15" s="6">
        <v>8935</v>
      </c>
      <c r="J15" s="6"/>
      <c r="K15" s="6"/>
      <c r="L15" s="6"/>
      <c r="M15" s="6"/>
      <c r="N15" s="6"/>
      <c r="O15" s="6">
        <v>8935</v>
      </c>
    </row>
    <row r="16" spans="1:15" x14ac:dyDescent="0.25">
      <c r="A16" s="2" t="s">
        <v>26</v>
      </c>
      <c r="B16" s="6"/>
      <c r="C16" s="6"/>
      <c r="D16" s="6"/>
      <c r="E16" s="6">
        <v>62500</v>
      </c>
      <c r="F16" s="6"/>
      <c r="G16" s="6"/>
      <c r="H16" s="6"/>
      <c r="I16" s="6"/>
      <c r="J16" s="6"/>
      <c r="K16" s="6"/>
      <c r="L16" s="6"/>
      <c r="M16" s="6">
        <v>62500</v>
      </c>
      <c r="N16" s="6"/>
      <c r="O16" s="6"/>
    </row>
    <row r="17" spans="1:15" x14ac:dyDescent="0.25">
      <c r="A17" s="2" t="s">
        <v>37</v>
      </c>
      <c r="B17" s="6"/>
      <c r="C17" s="6"/>
      <c r="D17" s="6"/>
      <c r="E17" s="6"/>
      <c r="F17" s="6"/>
      <c r="G17" s="6"/>
      <c r="H17" s="6"/>
      <c r="I17" s="6">
        <v>21891.8</v>
      </c>
      <c r="J17" s="6">
        <v>49963.934999999998</v>
      </c>
      <c r="K17" s="6"/>
      <c r="L17" s="6"/>
      <c r="M17" s="6"/>
      <c r="N17" s="6"/>
      <c r="O17" s="6">
        <v>71855.735000000001</v>
      </c>
    </row>
    <row r="18" spans="1:15" x14ac:dyDescent="0.25">
      <c r="A18" s="2" t="s">
        <v>40</v>
      </c>
      <c r="B18" s="6"/>
      <c r="C18" s="6"/>
      <c r="D18" s="6"/>
      <c r="E18" s="6"/>
      <c r="F18" s="6"/>
      <c r="G18" s="6"/>
      <c r="H18" s="6"/>
      <c r="I18" s="6">
        <v>89619</v>
      </c>
      <c r="J18" s="6"/>
      <c r="K18" s="6"/>
      <c r="L18" s="6"/>
      <c r="M18" s="6"/>
      <c r="N18" s="6"/>
      <c r="O18" s="6">
        <v>89619</v>
      </c>
    </row>
    <row r="19" spans="1:15" x14ac:dyDescent="0.25">
      <c r="A19" s="2" t="s">
        <v>39</v>
      </c>
      <c r="B19" s="6"/>
      <c r="C19" s="6"/>
      <c r="D19" s="6"/>
      <c r="E19" s="6"/>
      <c r="F19" s="6"/>
      <c r="G19" s="6"/>
      <c r="H19" s="6"/>
      <c r="I19" s="6">
        <v>40500</v>
      </c>
      <c r="J19" s="6"/>
      <c r="K19" s="6"/>
      <c r="L19" s="6"/>
      <c r="M19" s="6"/>
      <c r="N19" s="6"/>
      <c r="O19" s="6">
        <v>40500</v>
      </c>
    </row>
    <row r="20" spans="1:15" x14ac:dyDescent="0.25">
      <c r="A20" s="2" t="s">
        <v>42</v>
      </c>
      <c r="B20" s="6"/>
      <c r="C20" s="6"/>
      <c r="D20" s="6"/>
      <c r="E20" s="6"/>
      <c r="F20" s="6"/>
      <c r="G20" s="6">
        <v>31211</v>
      </c>
      <c r="H20" s="6"/>
      <c r="I20" s="6"/>
      <c r="J20" s="6"/>
      <c r="K20" s="6"/>
      <c r="L20" s="6"/>
      <c r="M20" s="6"/>
      <c r="N20" s="6">
        <v>31211</v>
      </c>
      <c r="O20" s="6"/>
    </row>
    <row r="21" spans="1:15" x14ac:dyDescent="0.25">
      <c r="A21" s="2" t="s">
        <v>25</v>
      </c>
      <c r="B21" s="6"/>
      <c r="C21" s="6"/>
      <c r="D21" s="6"/>
      <c r="E21" s="6"/>
      <c r="F21" s="6"/>
      <c r="G21" s="6">
        <v>4065.55</v>
      </c>
      <c r="H21" s="6"/>
      <c r="I21" s="6">
        <v>2546.2199999999998</v>
      </c>
      <c r="J21" s="6"/>
      <c r="K21" s="6"/>
      <c r="L21" s="6"/>
      <c r="M21" s="6"/>
      <c r="N21" s="6">
        <v>4065.55</v>
      </c>
      <c r="O21" s="6">
        <v>2546.2199999999998</v>
      </c>
    </row>
    <row r="22" spans="1:15" x14ac:dyDescent="0.25">
      <c r="A22" s="2" t="s">
        <v>16</v>
      </c>
      <c r="B22" s="6">
        <v>924369.75</v>
      </c>
      <c r="C22" s="6">
        <v>50630252.100000001</v>
      </c>
      <c r="D22" s="6"/>
      <c r="E22" s="6"/>
      <c r="F22" s="6"/>
      <c r="G22" s="6"/>
      <c r="H22" s="6"/>
      <c r="I22" s="6">
        <v>101800</v>
      </c>
      <c r="J22" s="6"/>
      <c r="K22" s="6"/>
      <c r="L22" s="6"/>
      <c r="M22" s="6">
        <v>51554621.850000001</v>
      </c>
      <c r="N22" s="6"/>
      <c r="O22" s="6">
        <v>101800</v>
      </c>
    </row>
    <row r="23" spans="1:15" x14ac:dyDescent="0.25">
      <c r="A23" s="2" t="s">
        <v>31</v>
      </c>
      <c r="B23" s="6">
        <v>380000</v>
      </c>
      <c r="C23" s="6"/>
      <c r="D23" s="6"/>
      <c r="E23" s="6"/>
      <c r="F23" s="6"/>
      <c r="G23" s="6"/>
      <c r="H23" s="6"/>
      <c r="I23" s="6"/>
      <c r="J23" s="6"/>
      <c r="K23" s="6"/>
      <c r="L23" s="6"/>
      <c r="M23" s="6">
        <v>380000</v>
      </c>
      <c r="N23" s="6"/>
      <c r="O23" s="6"/>
    </row>
    <row r="24" spans="1:15" x14ac:dyDescent="0.25">
      <c r="A24" s="2" t="s">
        <v>220</v>
      </c>
      <c r="B24" s="6"/>
      <c r="C24" s="6"/>
      <c r="D24" s="6"/>
      <c r="E24" s="6"/>
      <c r="F24" s="6">
        <v>3354921.62</v>
      </c>
      <c r="G24" s="6"/>
      <c r="H24" s="6"/>
      <c r="I24" s="6"/>
      <c r="J24" s="6"/>
      <c r="K24" s="6"/>
      <c r="L24" s="6"/>
      <c r="M24" s="6">
        <v>3354921.62</v>
      </c>
      <c r="N24" s="6"/>
      <c r="O24" s="6"/>
    </row>
    <row r="25" spans="1:15" x14ac:dyDescent="0.25">
      <c r="A25" s="2" t="s">
        <v>53</v>
      </c>
      <c r="B25" s="6">
        <v>6583592.0499999998</v>
      </c>
      <c r="C25" s="6">
        <v>51039735.510000005</v>
      </c>
      <c r="D25" s="6">
        <v>440000</v>
      </c>
      <c r="E25" s="6">
        <v>89165</v>
      </c>
      <c r="F25" s="6">
        <v>3354921.62</v>
      </c>
      <c r="G25" s="6">
        <v>1325276.55</v>
      </c>
      <c r="H25" s="6">
        <v>7000</v>
      </c>
      <c r="I25" s="6">
        <v>429349.7</v>
      </c>
      <c r="J25" s="6">
        <v>129847.935</v>
      </c>
      <c r="K25" s="6">
        <v>16300</v>
      </c>
      <c r="L25" s="6">
        <v>7677</v>
      </c>
      <c r="M25" s="6">
        <v>61507414.18</v>
      </c>
      <c r="N25" s="6">
        <v>1332276.55</v>
      </c>
      <c r="O25" s="6">
        <v>583174.63500000013</v>
      </c>
    </row>
  </sheetData>
  <sheetProtection sort="0" autoFilter="0" pivotTables="0"/>
  <pageMargins left="0.7" right="0.7" top="0.75" bottom="0.75" header="0.3" footer="0.3"/>
  <pageSetup paperSize="9" scale="85"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4"/>
  <sheetViews>
    <sheetView workbookViewId="0">
      <selection activeCell="B15" sqref="B15"/>
    </sheetView>
  </sheetViews>
  <sheetFormatPr defaultRowHeight="15" x14ac:dyDescent="0.25"/>
  <cols>
    <col min="1" max="1" width="14" customWidth="1"/>
    <col min="2" max="2" width="36.7109375" bestFit="1" customWidth="1"/>
    <col min="3" max="5" width="36.7109375" customWidth="1"/>
    <col min="6" max="8" width="13.28515625" customWidth="1"/>
    <col min="9" max="9" width="14.28515625" customWidth="1"/>
    <col min="10" max="76" width="48.140625" bestFit="1" customWidth="1"/>
    <col min="77" max="77" width="53.140625" bestFit="1" customWidth="1"/>
    <col min="78" max="78" width="51.7109375" bestFit="1" customWidth="1"/>
  </cols>
  <sheetData>
    <row r="1" spans="1:4" x14ac:dyDescent="0.25">
      <c r="A1" s="24" t="s">
        <v>222</v>
      </c>
    </row>
    <row r="2" spans="1:4" x14ac:dyDescent="0.25">
      <c r="A2" s="5" t="s">
        <v>56</v>
      </c>
      <c r="B2" t="s" vm="2">
        <v>105</v>
      </c>
    </row>
    <row r="3" spans="1:4" x14ac:dyDescent="0.25">
      <c r="A3" s="5" t="s">
        <v>69</v>
      </c>
      <c r="B3" t="s" vm="1">
        <v>75</v>
      </c>
      <c r="C3" s="3" t="s">
        <v>77</v>
      </c>
      <c r="D3" s="22">
        <f>(GETPIVOTDATA("[Measures].[Sum of Valoare estimata  - lei fără TVA -]",$A$5)+GETPIVOTDATA("[Measures].[Sum of Valoare estimata  - lei fără TVA - 2]",$A$5)+GETPIVOTDATA("[Measures].[Sum of Valoare estimata  - lei fără TVA - 3]",$A$5))*1.19</f>
        <v>180959229.93224999</v>
      </c>
    </row>
    <row r="5" spans="1:4" x14ac:dyDescent="0.25">
      <c r="A5" s="5" t="s">
        <v>54</v>
      </c>
      <c r="B5" t="s">
        <v>76</v>
      </c>
      <c r="C5" t="s">
        <v>76</v>
      </c>
      <c r="D5" t="s">
        <v>76</v>
      </c>
    </row>
    <row r="6" spans="1:4" x14ac:dyDescent="0.25">
      <c r="A6" s="2" t="s">
        <v>18</v>
      </c>
      <c r="B6" s="6"/>
      <c r="C6" s="6">
        <v>18500</v>
      </c>
      <c r="D6" s="6"/>
    </row>
    <row r="7" spans="1:4" x14ac:dyDescent="0.25">
      <c r="A7" s="2" t="s">
        <v>29</v>
      </c>
      <c r="B7" s="6">
        <v>386333.61</v>
      </c>
      <c r="C7" s="6">
        <v>16315.96</v>
      </c>
      <c r="D7" s="6"/>
    </row>
    <row r="8" spans="1:4" x14ac:dyDescent="0.25">
      <c r="A8" s="2" t="s">
        <v>28</v>
      </c>
      <c r="B8" s="6">
        <v>9787440</v>
      </c>
      <c r="C8" s="6"/>
      <c r="D8" s="6"/>
    </row>
    <row r="9" spans="1:4" x14ac:dyDescent="0.25">
      <c r="A9" s="2" t="s">
        <v>34</v>
      </c>
      <c r="B9" s="6"/>
      <c r="C9" s="6"/>
      <c r="D9" s="6">
        <v>33600</v>
      </c>
    </row>
    <row r="10" spans="1:4" x14ac:dyDescent="0.25">
      <c r="A10" s="2" t="s">
        <v>57</v>
      </c>
      <c r="B10" s="6">
        <v>1279920</v>
      </c>
      <c r="C10" s="6">
        <v>1008.4</v>
      </c>
      <c r="D10" s="6"/>
    </row>
    <row r="11" spans="1:4" x14ac:dyDescent="0.25">
      <c r="A11" s="2" t="s">
        <v>32</v>
      </c>
      <c r="B11" s="6">
        <v>70786457.719999999</v>
      </c>
      <c r="C11" s="6">
        <v>54078.15</v>
      </c>
      <c r="D11" s="6"/>
    </row>
    <row r="12" spans="1:4" x14ac:dyDescent="0.25">
      <c r="A12" s="2" t="s">
        <v>23</v>
      </c>
      <c r="B12" s="6">
        <v>522590</v>
      </c>
      <c r="C12" s="6">
        <v>631577</v>
      </c>
      <c r="D12" s="6">
        <v>4124000</v>
      </c>
    </row>
    <row r="13" spans="1:4" x14ac:dyDescent="0.25">
      <c r="A13" s="2" t="s">
        <v>45</v>
      </c>
      <c r="B13" s="6"/>
      <c r="C13" s="6">
        <v>9474</v>
      </c>
      <c r="D13" s="6"/>
    </row>
    <row r="14" spans="1:4" x14ac:dyDescent="0.25">
      <c r="A14" s="2" t="s">
        <v>38</v>
      </c>
      <c r="B14" s="6"/>
      <c r="C14" s="6">
        <v>8935</v>
      </c>
      <c r="D14" s="6"/>
    </row>
    <row r="15" spans="1:4" x14ac:dyDescent="0.25">
      <c r="A15" s="2" t="s">
        <v>26</v>
      </c>
      <c r="B15" s="6">
        <v>375000</v>
      </c>
      <c r="C15" s="6"/>
      <c r="D15" s="6"/>
    </row>
    <row r="16" spans="1:4" x14ac:dyDescent="0.25">
      <c r="A16" s="2" t="s">
        <v>37</v>
      </c>
      <c r="B16" s="6"/>
      <c r="C16" s="6">
        <v>106191.535</v>
      </c>
      <c r="D16" s="6"/>
    </row>
    <row r="17" spans="1:4" x14ac:dyDescent="0.25">
      <c r="A17" s="2" t="s">
        <v>40</v>
      </c>
      <c r="B17" s="6"/>
      <c r="C17" s="6">
        <v>65859</v>
      </c>
      <c r="D17" s="6"/>
    </row>
    <row r="18" spans="1:4" x14ac:dyDescent="0.25">
      <c r="A18" s="2" t="s">
        <v>39</v>
      </c>
      <c r="B18" s="6"/>
      <c r="C18" s="6">
        <v>40500</v>
      </c>
      <c r="D18" s="6"/>
    </row>
    <row r="19" spans="1:4" x14ac:dyDescent="0.25">
      <c r="A19" s="2" t="s">
        <v>42</v>
      </c>
      <c r="B19" s="6"/>
      <c r="C19" s="6"/>
      <c r="D19" s="6">
        <v>31211</v>
      </c>
    </row>
    <row r="20" spans="1:4" x14ac:dyDescent="0.25">
      <c r="A20" s="2" t="s">
        <v>25</v>
      </c>
      <c r="B20" s="6"/>
      <c r="C20" s="6">
        <v>2546.2199999999998</v>
      </c>
      <c r="D20" s="6">
        <v>4065.55</v>
      </c>
    </row>
    <row r="21" spans="1:4" x14ac:dyDescent="0.25">
      <c r="A21" s="2" t="s">
        <v>16</v>
      </c>
      <c r="B21" s="6">
        <v>51554621.850000001</v>
      </c>
      <c r="C21" s="6">
        <v>101820</v>
      </c>
      <c r="D21" s="6"/>
    </row>
    <row r="22" spans="1:4" x14ac:dyDescent="0.25">
      <c r="A22" s="2" t="s">
        <v>31</v>
      </c>
      <c r="B22" s="6">
        <v>380000</v>
      </c>
      <c r="C22" s="6"/>
      <c r="D22" s="6"/>
    </row>
    <row r="23" spans="1:4" x14ac:dyDescent="0.25">
      <c r="A23" s="2" t="s">
        <v>220</v>
      </c>
      <c r="B23" s="6">
        <v>11744534.779999999</v>
      </c>
      <c r="C23" s="6"/>
      <c r="D23" s="6"/>
    </row>
    <row r="24" spans="1:4" x14ac:dyDescent="0.25">
      <c r="A24" s="2" t="s">
        <v>53</v>
      </c>
      <c r="B24" s="6">
        <v>146816897.96000001</v>
      </c>
      <c r="C24" s="6">
        <v>1056805.2649999999</v>
      </c>
      <c r="D24" s="6">
        <v>4192876.55</v>
      </c>
    </row>
  </sheetData>
  <sheetProtection sort="0" autoFilter="0" pivotTables="0"/>
  <pageMargins left="0.7" right="0.7"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17"/>
  <sheetViews>
    <sheetView workbookViewId="0">
      <selection activeCell="B15" sqref="B15"/>
    </sheetView>
  </sheetViews>
  <sheetFormatPr defaultRowHeight="15" x14ac:dyDescent="0.25"/>
  <cols>
    <col min="1" max="1" width="22.5703125" bestFit="1" customWidth="1"/>
    <col min="2" max="2" width="16.28515625" bestFit="1" customWidth="1"/>
    <col min="3" max="3" width="6.28515625" customWidth="1"/>
    <col min="4" max="4" width="10" customWidth="1"/>
    <col min="5" max="5" width="21.5703125" bestFit="1" customWidth="1"/>
    <col min="6" max="6" width="9.85546875" bestFit="1" customWidth="1"/>
    <col min="7" max="7" width="8.5703125" bestFit="1" customWidth="1"/>
    <col min="8" max="9" width="21.5703125" bestFit="1" customWidth="1"/>
    <col min="10" max="10" width="23" bestFit="1" customWidth="1"/>
    <col min="11" max="11" width="14.85546875" bestFit="1" customWidth="1"/>
    <col min="12" max="14" width="21.5703125" bestFit="1" customWidth="1"/>
    <col min="15" max="15" width="14.85546875" bestFit="1" customWidth="1"/>
    <col min="16" max="17" width="21.5703125" bestFit="1" customWidth="1"/>
    <col min="18" max="18" width="32.7109375" bestFit="1" customWidth="1"/>
    <col min="19" max="19" width="14.85546875" bestFit="1" customWidth="1"/>
    <col min="20" max="21" width="21.5703125" bestFit="1" customWidth="1"/>
    <col min="22" max="22" width="17.28515625" bestFit="1" customWidth="1"/>
    <col min="23" max="23" width="8.5703125" bestFit="1" customWidth="1"/>
    <col min="24" max="24" width="10" bestFit="1" customWidth="1"/>
    <col min="25" max="25" width="21.5703125" bestFit="1" customWidth="1"/>
    <col min="26" max="26" width="21" bestFit="1" customWidth="1"/>
    <col min="27" max="27" width="8.5703125" bestFit="1" customWidth="1"/>
    <col min="28" max="28" width="10" bestFit="1" customWidth="1"/>
    <col min="29" max="29" width="21.5703125" bestFit="1" customWidth="1"/>
    <col min="30" max="30" width="16.7109375" bestFit="1" customWidth="1"/>
    <col min="31" max="31" width="13.5703125" bestFit="1" customWidth="1"/>
    <col min="32" max="32" width="16.7109375" bestFit="1" customWidth="1"/>
    <col min="33" max="33" width="26.5703125" bestFit="1" customWidth="1"/>
    <col min="34" max="34" width="16.140625" bestFit="1" customWidth="1"/>
    <col min="35" max="35" width="14.85546875" bestFit="1" customWidth="1"/>
    <col min="36" max="38" width="21.5703125" bestFit="1" customWidth="1"/>
    <col min="39" max="39" width="14.85546875" bestFit="1" customWidth="1"/>
    <col min="40" max="42" width="21.5703125" bestFit="1" customWidth="1"/>
    <col min="43" max="43" width="14.85546875" bestFit="1" customWidth="1"/>
    <col min="44" max="45" width="21.5703125" bestFit="1" customWidth="1"/>
    <col min="46" max="46" width="32.7109375" bestFit="1" customWidth="1"/>
    <col min="47" max="47" width="14.85546875" bestFit="1" customWidth="1"/>
    <col min="48" max="49" width="21.5703125" bestFit="1" customWidth="1"/>
    <col min="50" max="50" width="25" bestFit="1" customWidth="1"/>
    <col min="51" max="51" width="14.85546875" bestFit="1" customWidth="1"/>
    <col min="52" max="53" width="21.5703125" bestFit="1" customWidth="1"/>
    <col min="54" max="54" width="78.140625" bestFit="1" customWidth="1"/>
    <col min="55" max="55" width="14.85546875" bestFit="1" customWidth="1"/>
    <col min="56" max="57" width="21.5703125" bestFit="1" customWidth="1"/>
    <col min="58" max="58" width="17.28515625" bestFit="1" customWidth="1"/>
    <col min="59" max="59" width="14.85546875" bestFit="1" customWidth="1"/>
    <col min="60" max="61" width="21.5703125" bestFit="1" customWidth="1"/>
    <col min="62" max="62" width="21" bestFit="1" customWidth="1"/>
    <col min="63" max="63" width="14.85546875" bestFit="1" customWidth="1"/>
    <col min="64" max="64" width="11.7109375" bestFit="1" customWidth="1"/>
    <col min="65" max="66" width="21.5703125" bestFit="1" customWidth="1"/>
    <col min="67" max="67" width="14.85546875" bestFit="1" customWidth="1"/>
    <col min="68" max="68" width="11.7109375" bestFit="1" customWidth="1"/>
    <col min="69" max="69" width="21.5703125" bestFit="1" customWidth="1"/>
    <col min="70" max="71" width="13.5703125" bestFit="1" customWidth="1"/>
    <col min="72" max="72" width="16.7109375" bestFit="1" customWidth="1"/>
    <col min="73" max="73" width="26.5703125" bestFit="1" customWidth="1"/>
    <col min="74" max="74" width="15.140625" bestFit="1" customWidth="1"/>
    <col min="75" max="75" width="21.5703125" bestFit="1" customWidth="1"/>
    <col min="76" max="76" width="14.85546875" bestFit="1" customWidth="1"/>
    <col min="77" max="77" width="15.140625" bestFit="1" customWidth="1"/>
    <col min="78" max="78" width="21.5703125" bestFit="1" customWidth="1"/>
    <col min="79" max="79" width="14.85546875" bestFit="1" customWidth="1"/>
    <col min="80" max="80" width="15.7109375" bestFit="1" customWidth="1"/>
    <col min="81" max="81" width="21.5703125" bestFit="1" customWidth="1"/>
    <col min="82" max="82" width="14.85546875" bestFit="1" customWidth="1"/>
    <col min="83" max="83" width="17.85546875" bestFit="1" customWidth="1"/>
    <col min="84" max="84" width="21.5703125" bestFit="1" customWidth="1"/>
    <col min="85" max="85" width="14.85546875" bestFit="1" customWidth="1"/>
    <col min="86" max="86" width="15.140625" bestFit="1" customWidth="1"/>
    <col min="87" max="87" width="21.5703125" bestFit="1" customWidth="1"/>
    <col min="88" max="88" width="14.85546875" bestFit="1" customWidth="1"/>
    <col min="89" max="89" width="29.85546875" bestFit="1" customWidth="1"/>
    <col min="90" max="90" width="36.140625" bestFit="1" customWidth="1"/>
    <col min="91" max="91" width="29.42578125" bestFit="1" customWidth="1"/>
    <col min="92" max="92" width="20.28515625" bestFit="1" customWidth="1"/>
    <col min="93" max="93" width="21.5703125" bestFit="1" customWidth="1"/>
    <col min="94" max="94" width="14.85546875" bestFit="1" customWidth="1"/>
    <col min="95" max="95" width="18.7109375" bestFit="1" customWidth="1"/>
    <col min="96" max="96" width="21.5703125" bestFit="1" customWidth="1"/>
    <col min="97" max="97" width="14.85546875" bestFit="1" customWidth="1"/>
    <col min="98" max="98" width="18.42578125" bestFit="1" customWidth="1"/>
    <col min="99" max="99" width="21.5703125" bestFit="1" customWidth="1"/>
    <col min="100" max="100" width="14.85546875" bestFit="1" customWidth="1"/>
    <col min="101" max="101" width="15.140625" bestFit="1" customWidth="1"/>
    <col min="102" max="102" width="21.5703125" bestFit="1" customWidth="1"/>
    <col min="103" max="103" width="14.85546875" bestFit="1" customWidth="1"/>
    <col min="104" max="104" width="15.140625" bestFit="1" customWidth="1"/>
    <col min="105" max="105" width="21.5703125" bestFit="1" customWidth="1"/>
    <col min="106" max="106" width="14.85546875" bestFit="1" customWidth="1"/>
    <col min="107" max="107" width="15.140625" bestFit="1" customWidth="1"/>
    <col min="108" max="108" width="21.5703125" bestFit="1" customWidth="1"/>
    <col min="109" max="109" width="14.85546875" bestFit="1" customWidth="1"/>
    <col min="110" max="110" width="15.7109375" bestFit="1" customWidth="1"/>
    <col min="111" max="111" width="21.5703125" bestFit="1" customWidth="1"/>
    <col min="112" max="112" width="14.85546875" bestFit="1" customWidth="1"/>
    <col min="113" max="113" width="17.85546875" bestFit="1" customWidth="1"/>
    <col min="114" max="114" width="21.5703125" bestFit="1" customWidth="1"/>
    <col min="115" max="115" width="14.85546875" bestFit="1" customWidth="1"/>
    <col min="116" max="116" width="15.140625" bestFit="1" customWidth="1"/>
    <col min="117" max="117" width="21.5703125" bestFit="1" customWidth="1"/>
    <col min="118" max="118" width="14.85546875" bestFit="1" customWidth="1"/>
    <col min="119" max="119" width="33.28515625" bestFit="1" customWidth="1"/>
    <col min="120" max="120" width="39.7109375" bestFit="1" customWidth="1"/>
    <col min="121" max="121" width="33" bestFit="1" customWidth="1"/>
    <col min="122" max="122" width="15.140625" bestFit="1" customWidth="1"/>
    <col min="123" max="123" width="21.5703125" bestFit="1" customWidth="1"/>
    <col min="124" max="124" width="14.85546875" bestFit="1" customWidth="1"/>
    <col min="125" max="125" width="18.7109375" bestFit="1" customWidth="1"/>
    <col min="126" max="126" width="21.5703125" bestFit="1" customWidth="1"/>
    <col min="127" max="127" width="14.85546875" bestFit="1" customWidth="1"/>
    <col min="128" max="128" width="18.42578125" bestFit="1" customWidth="1"/>
    <col min="129" max="129" width="21.5703125" bestFit="1" customWidth="1"/>
    <col min="130" max="130" width="14.85546875" bestFit="1" customWidth="1"/>
    <col min="131" max="131" width="15.140625" bestFit="1" customWidth="1"/>
    <col min="132" max="132" width="21.5703125" bestFit="1" customWidth="1"/>
    <col min="133" max="133" width="14.85546875" bestFit="1" customWidth="1"/>
    <col min="134" max="134" width="15.140625" bestFit="1" customWidth="1"/>
    <col min="135" max="135" width="21.5703125" bestFit="1" customWidth="1"/>
    <col min="136" max="136" width="14.85546875" bestFit="1" customWidth="1"/>
    <col min="137" max="137" width="15.140625" bestFit="1" customWidth="1"/>
    <col min="138" max="138" width="21.5703125" bestFit="1" customWidth="1"/>
    <col min="139" max="139" width="14.85546875" bestFit="1" customWidth="1"/>
    <col min="140" max="140" width="15.7109375" bestFit="1" customWidth="1"/>
    <col min="141" max="141" width="21.5703125" bestFit="1" customWidth="1"/>
    <col min="142" max="142" width="14.85546875" bestFit="1" customWidth="1"/>
    <col min="143" max="143" width="17.85546875" bestFit="1" customWidth="1"/>
    <col min="144" max="144" width="21.5703125" bestFit="1" customWidth="1"/>
    <col min="145" max="145" width="14.85546875" bestFit="1" customWidth="1"/>
    <col min="146" max="146" width="15.140625" bestFit="1" customWidth="1"/>
    <col min="147" max="147" width="21.5703125" bestFit="1" customWidth="1"/>
    <col min="148" max="148" width="14.85546875" bestFit="1" customWidth="1"/>
    <col min="149" max="149" width="26.42578125" bestFit="1" customWidth="1"/>
    <col min="150" max="150" width="32.7109375" bestFit="1" customWidth="1"/>
    <col min="151" max="151" width="26.140625" bestFit="1" customWidth="1"/>
    <col min="152" max="152" width="15.140625" bestFit="1" customWidth="1"/>
    <col min="153" max="153" width="21.5703125" bestFit="1" customWidth="1"/>
    <col min="154" max="154" width="14.85546875" bestFit="1" customWidth="1"/>
    <col min="155" max="155" width="18.7109375" bestFit="1" customWidth="1"/>
    <col min="156" max="156" width="21.5703125" bestFit="1" customWidth="1"/>
    <col min="157" max="157" width="14.85546875" bestFit="1" customWidth="1"/>
    <col min="158" max="158" width="18.42578125" bestFit="1" customWidth="1"/>
    <col min="159" max="159" width="21.5703125" bestFit="1" customWidth="1"/>
    <col min="160" max="160" width="14.85546875" bestFit="1" customWidth="1"/>
    <col min="161" max="161" width="15.140625" bestFit="1" customWidth="1"/>
    <col min="162" max="162" width="21.5703125" bestFit="1" customWidth="1"/>
    <col min="163" max="163" width="14.85546875" bestFit="1" customWidth="1"/>
    <col min="164" max="164" width="15.140625" bestFit="1" customWidth="1"/>
    <col min="165" max="165" width="21.5703125" bestFit="1" customWidth="1"/>
    <col min="166" max="166" width="14.85546875" bestFit="1" customWidth="1"/>
    <col min="167" max="167" width="15.140625" bestFit="1" customWidth="1"/>
    <col min="168" max="168" width="21.5703125" bestFit="1" customWidth="1"/>
    <col min="169" max="169" width="14.85546875" bestFit="1" customWidth="1"/>
    <col min="170" max="170" width="15.7109375" bestFit="1" customWidth="1"/>
    <col min="171" max="171" width="21.5703125" bestFit="1" customWidth="1"/>
    <col min="172" max="172" width="14.85546875" bestFit="1" customWidth="1"/>
    <col min="173" max="173" width="17.85546875" bestFit="1" customWidth="1"/>
    <col min="174" max="174" width="21.5703125" bestFit="1" customWidth="1"/>
    <col min="175" max="175" width="14.85546875" bestFit="1" customWidth="1"/>
    <col min="176" max="176" width="15.140625" bestFit="1" customWidth="1"/>
    <col min="177" max="177" width="21.5703125" bestFit="1" customWidth="1"/>
    <col min="178" max="178" width="14.85546875" bestFit="1" customWidth="1"/>
    <col min="179" max="179" width="26.7109375" bestFit="1" customWidth="1"/>
    <col min="180" max="180" width="33" bestFit="1" customWidth="1"/>
    <col min="181" max="181" width="26.42578125" bestFit="1" customWidth="1"/>
    <col min="182" max="182" width="16.7109375" bestFit="1" customWidth="1"/>
    <col min="183" max="183" width="21.5703125" bestFit="1" customWidth="1"/>
    <col min="184" max="184" width="14.85546875" bestFit="1" customWidth="1"/>
    <col min="185" max="185" width="18.7109375" bestFit="1" customWidth="1"/>
    <col min="186" max="186" width="21.5703125" bestFit="1" customWidth="1"/>
    <col min="187" max="187" width="14.85546875" bestFit="1" customWidth="1"/>
    <col min="188" max="188" width="18.42578125" bestFit="1" customWidth="1"/>
    <col min="189" max="189" width="21.5703125" bestFit="1" customWidth="1"/>
    <col min="190" max="190" width="14.85546875" bestFit="1" customWidth="1"/>
    <col min="191" max="191" width="15.140625" bestFit="1" customWidth="1"/>
    <col min="192" max="192" width="21.5703125" bestFit="1" customWidth="1"/>
    <col min="193" max="193" width="14.85546875" bestFit="1" customWidth="1"/>
    <col min="194" max="194" width="15.140625" bestFit="1" customWidth="1"/>
    <col min="195" max="195" width="21.5703125" bestFit="1" customWidth="1"/>
    <col min="196" max="196" width="14.85546875" bestFit="1" customWidth="1"/>
    <col min="197" max="197" width="15.140625" bestFit="1" customWidth="1"/>
    <col min="198" max="198" width="21.5703125" bestFit="1" customWidth="1"/>
    <col min="199" max="199" width="14.85546875" bestFit="1" customWidth="1"/>
    <col min="200" max="200" width="15.7109375" bestFit="1" customWidth="1"/>
    <col min="201" max="201" width="21.5703125" bestFit="1" customWidth="1"/>
    <col min="202" max="202" width="14.85546875" bestFit="1" customWidth="1"/>
    <col min="203" max="203" width="17.85546875" bestFit="1" customWidth="1"/>
    <col min="204" max="204" width="21.5703125" bestFit="1" customWidth="1"/>
    <col min="205" max="205" width="14.85546875" bestFit="1" customWidth="1"/>
    <col min="206" max="206" width="15.140625" bestFit="1" customWidth="1"/>
    <col min="207" max="207" width="21.5703125" bestFit="1" customWidth="1"/>
    <col min="208" max="208" width="14.85546875" bestFit="1" customWidth="1"/>
    <col min="209" max="209" width="29.85546875" bestFit="1" customWidth="1"/>
    <col min="210" max="210" width="36.140625" bestFit="1" customWidth="1"/>
    <col min="211" max="211" width="29.42578125" bestFit="1" customWidth="1"/>
    <col min="212" max="212" width="15.140625" bestFit="1" customWidth="1"/>
    <col min="213" max="213" width="21.5703125" bestFit="1" customWidth="1"/>
    <col min="214" max="214" width="14.85546875" bestFit="1" customWidth="1"/>
    <col min="215" max="215" width="18.7109375" bestFit="1" customWidth="1"/>
    <col min="216" max="216" width="21.5703125" bestFit="1" customWidth="1"/>
    <col min="217" max="217" width="14.85546875" bestFit="1" customWidth="1"/>
    <col min="218" max="218" width="18.42578125" bestFit="1" customWidth="1"/>
    <col min="219" max="219" width="21.5703125" bestFit="1" customWidth="1"/>
    <col min="220" max="220" width="14.85546875" bestFit="1" customWidth="1"/>
    <col min="221" max="221" width="15.140625" bestFit="1" customWidth="1"/>
    <col min="222" max="222" width="21.5703125" bestFit="1" customWidth="1"/>
    <col min="223" max="223" width="14.85546875" bestFit="1" customWidth="1"/>
    <col min="224" max="224" width="15.140625" bestFit="1" customWidth="1"/>
    <col min="225" max="225" width="21.5703125" bestFit="1" customWidth="1"/>
    <col min="226" max="226" width="14.85546875" bestFit="1" customWidth="1"/>
    <col min="227" max="227" width="15.140625" bestFit="1" customWidth="1"/>
    <col min="228" max="228" width="21.5703125" bestFit="1" customWidth="1"/>
    <col min="229" max="229" width="14.85546875" bestFit="1" customWidth="1"/>
    <col min="230" max="230" width="15.7109375" bestFit="1" customWidth="1"/>
    <col min="231" max="231" width="21.5703125" bestFit="1" customWidth="1"/>
    <col min="232" max="232" width="14.85546875" bestFit="1" customWidth="1"/>
    <col min="233" max="233" width="17.85546875" bestFit="1" customWidth="1"/>
    <col min="234" max="234" width="21.5703125" bestFit="1" customWidth="1"/>
    <col min="235" max="235" width="14.85546875" bestFit="1" customWidth="1"/>
    <col min="236" max="236" width="15.140625" bestFit="1" customWidth="1"/>
    <col min="237" max="237" width="21.5703125" bestFit="1" customWidth="1"/>
    <col min="238" max="238" width="14.85546875" bestFit="1" customWidth="1"/>
    <col min="239" max="239" width="26.7109375" bestFit="1" customWidth="1"/>
    <col min="240" max="240" width="33" bestFit="1" customWidth="1"/>
    <col min="241" max="241" width="26.42578125" bestFit="1" customWidth="1"/>
    <col min="242" max="242" width="17.5703125" bestFit="1" customWidth="1"/>
    <col min="243" max="243" width="21.5703125" bestFit="1" customWidth="1"/>
    <col min="244" max="244" width="14.85546875" bestFit="1" customWidth="1"/>
    <col min="245" max="245" width="18.7109375" bestFit="1" customWidth="1"/>
    <col min="246" max="246" width="21.5703125" bestFit="1" customWidth="1"/>
    <col min="247" max="247" width="14.85546875" bestFit="1" customWidth="1"/>
    <col min="248" max="248" width="18.42578125" bestFit="1" customWidth="1"/>
    <col min="249" max="249" width="21.5703125" bestFit="1" customWidth="1"/>
    <col min="250" max="250" width="14.85546875" bestFit="1" customWidth="1"/>
    <col min="251" max="251" width="15.140625" bestFit="1" customWidth="1"/>
    <col min="252" max="252" width="21.5703125" bestFit="1" customWidth="1"/>
    <col min="253" max="253" width="14.85546875" bestFit="1" customWidth="1"/>
    <col min="254" max="254" width="15.140625" bestFit="1" customWidth="1"/>
    <col min="255" max="255" width="21.5703125" bestFit="1" customWidth="1"/>
    <col min="256" max="256" width="14.85546875" bestFit="1" customWidth="1"/>
    <col min="257" max="257" width="15.140625" bestFit="1" customWidth="1"/>
    <col min="258" max="258" width="21.5703125" bestFit="1" customWidth="1"/>
    <col min="259" max="259" width="14.85546875" bestFit="1" customWidth="1"/>
    <col min="260" max="260" width="15.7109375" bestFit="1" customWidth="1"/>
    <col min="261" max="261" width="21.5703125" bestFit="1" customWidth="1"/>
    <col min="262" max="262" width="14.85546875" bestFit="1" customWidth="1"/>
    <col min="263" max="263" width="17.85546875" bestFit="1" customWidth="1"/>
    <col min="264" max="264" width="21.5703125" bestFit="1" customWidth="1"/>
    <col min="265" max="265" width="14.85546875" bestFit="1" customWidth="1"/>
    <col min="266" max="266" width="15.140625" bestFit="1" customWidth="1"/>
    <col min="267" max="267" width="21.5703125" bestFit="1" customWidth="1"/>
    <col min="268" max="268" width="14.85546875" bestFit="1" customWidth="1"/>
    <col min="269" max="269" width="30.7109375" bestFit="1" customWidth="1"/>
    <col min="270" max="270" width="37" bestFit="1" customWidth="1"/>
    <col min="271" max="271" width="30.42578125" bestFit="1" customWidth="1"/>
    <col min="272" max="272" width="16.85546875" bestFit="1" customWidth="1"/>
    <col min="273" max="273" width="21.5703125" bestFit="1" customWidth="1"/>
    <col min="274" max="274" width="14.85546875" bestFit="1" customWidth="1"/>
    <col min="275" max="275" width="18.7109375" bestFit="1" customWidth="1"/>
    <col min="276" max="276" width="21.5703125" bestFit="1" customWidth="1"/>
    <col min="277" max="277" width="14.85546875" bestFit="1" customWidth="1"/>
    <col min="278" max="278" width="18.42578125" bestFit="1" customWidth="1"/>
    <col min="279" max="279" width="21.5703125" bestFit="1" customWidth="1"/>
    <col min="280" max="280" width="14.85546875" bestFit="1" customWidth="1"/>
    <col min="281" max="281" width="15.140625" bestFit="1" customWidth="1"/>
    <col min="282" max="282" width="21.5703125" bestFit="1" customWidth="1"/>
    <col min="283" max="283" width="14.85546875" bestFit="1" customWidth="1"/>
    <col min="284" max="284" width="15.140625" bestFit="1" customWidth="1"/>
    <col min="285" max="285" width="21.5703125" bestFit="1" customWidth="1"/>
    <col min="286" max="286" width="14.85546875" bestFit="1" customWidth="1"/>
    <col min="287" max="287" width="15.140625" bestFit="1" customWidth="1"/>
    <col min="288" max="288" width="21.5703125" bestFit="1" customWidth="1"/>
    <col min="289" max="289" width="14.85546875" bestFit="1" customWidth="1"/>
    <col min="290" max="290" width="15.7109375" bestFit="1" customWidth="1"/>
    <col min="291" max="291" width="21.5703125" bestFit="1" customWidth="1"/>
    <col min="292" max="292" width="14.85546875" bestFit="1" customWidth="1"/>
    <col min="293" max="293" width="17.85546875" bestFit="1" customWidth="1"/>
    <col min="294" max="294" width="21.5703125" bestFit="1" customWidth="1"/>
    <col min="295" max="295" width="14.85546875" bestFit="1" customWidth="1"/>
    <col min="296" max="296" width="15.140625" bestFit="1" customWidth="1"/>
    <col min="297" max="297" width="21.5703125" bestFit="1" customWidth="1"/>
    <col min="298" max="298" width="14.85546875" bestFit="1" customWidth="1"/>
    <col min="299" max="299" width="30" bestFit="1" customWidth="1"/>
    <col min="300" max="300" width="36.28515625" bestFit="1" customWidth="1"/>
    <col min="301" max="301" width="29.7109375" bestFit="1" customWidth="1"/>
    <col min="302" max="302" width="24.7109375" bestFit="1" customWidth="1"/>
    <col min="303" max="303" width="21.5703125" bestFit="1" customWidth="1"/>
    <col min="304" max="304" width="14.85546875" bestFit="1" customWidth="1"/>
    <col min="305" max="305" width="18.7109375" bestFit="1" customWidth="1"/>
    <col min="306" max="306" width="21.5703125" bestFit="1" customWidth="1"/>
    <col min="307" max="307" width="14.85546875" bestFit="1" customWidth="1"/>
    <col min="308" max="308" width="18.42578125" bestFit="1" customWidth="1"/>
    <col min="309" max="309" width="21.5703125" bestFit="1" customWidth="1"/>
    <col min="310" max="310" width="14.85546875" bestFit="1" customWidth="1"/>
    <col min="311" max="311" width="15.140625" bestFit="1" customWidth="1"/>
    <col min="312" max="312" width="21.5703125" bestFit="1" customWidth="1"/>
    <col min="313" max="313" width="14.85546875" bestFit="1" customWidth="1"/>
    <col min="314" max="314" width="15.140625" bestFit="1" customWidth="1"/>
    <col min="315" max="315" width="21.5703125" bestFit="1" customWidth="1"/>
    <col min="316" max="316" width="14.85546875" bestFit="1" customWidth="1"/>
    <col min="317" max="317" width="15.140625" bestFit="1" customWidth="1"/>
    <col min="318" max="318" width="21.5703125" bestFit="1" customWidth="1"/>
    <col min="319" max="319" width="14.85546875" bestFit="1" customWidth="1"/>
    <col min="320" max="320" width="15.7109375" bestFit="1" customWidth="1"/>
    <col min="321" max="321" width="21.5703125" bestFit="1" customWidth="1"/>
    <col min="322" max="322" width="14.85546875" bestFit="1" customWidth="1"/>
    <col min="323" max="323" width="17.85546875" bestFit="1" customWidth="1"/>
    <col min="324" max="324" width="21.5703125" bestFit="1" customWidth="1"/>
    <col min="325" max="325" width="14.85546875" bestFit="1" customWidth="1"/>
    <col min="326" max="326" width="15.140625" bestFit="1" customWidth="1"/>
    <col min="327" max="327" width="21.5703125" bestFit="1" customWidth="1"/>
    <col min="328" max="328" width="14.85546875" bestFit="1" customWidth="1"/>
    <col min="329" max="329" width="37.7109375" bestFit="1" customWidth="1"/>
    <col min="330" max="330" width="44.140625" bestFit="1" customWidth="1"/>
    <col min="331" max="331" width="37.42578125" bestFit="1" customWidth="1"/>
    <col min="332" max="332" width="19.7109375" bestFit="1" customWidth="1"/>
    <col min="333" max="333" width="21.5703125" bestFit="1" customWidth="1"/>
    <col min="334" max="334" width="14.85546875" bestFit="1" customWidth="1"/>
    <col min="335" max="335" width="18.7109375" bestFit="1" customWidth="1"/>
    <col min="336" max="336" width="21.5703125" bestFit="1" customWidth="1"/>
    <col min="337" max="337" width="14.85546875" bestFit="1" customWidth="1"/>
    <col min="338" max="338" width="18.42578125" bestFit="1" customWidth="1"/>
    <col min="339" max="339" width="21.5703125" bestFit="1" customWidth="1"/>
    <col min="340" max="340" width="14.85546875" bestFit="1" customWidth="1"/>
    <col min="341" max="341" width="15.140625" bestFit="1" customWidth="1"/>
    <col min="342" max="342" width="21.5703125" bestFit="1" customWidth="1"/>
    <col min="343" max="343" width="14.85546875" bestFit="1" customWidth="1"/>
    <col min="344" max="344" width="15.140625" bestFit="1" customWidth="1"/>
    <col min="345" max="345" width="21.5703125" bestFit="1" customWidth="1"/>
    <col min="346" max="346" width="14.85546875" bestFit="1" customWidth="1"/>
    <col min="347" max="347" width="15.140625" bestFit="1" customWidth="1"/>
    <col min="348" max="348" width="21.5703125" bestFit="1" customWidth="1"/>
    <col min="349" max="349" width="14.85546875" bestFit="1" customWidth="1"/>
    <col min="350" max="350" width="15.7109375" bestFit="1" customWidth="1"/>
    <col min="351" max="351" width="21.5703125" bestFit="1" customWidth="1"/>
    <col min="352" max="352" width="14.85546875" bestFit="1" customWidth="1"/>
    <col min="353" max="353" width="17.85546875" bestFit="1" customWidth="1"/>
    <col min="354" max="354" width="21.5703125" bestFit="1" customWidth="1"/>
    <col min="355" max="355" width="14.85546875" bestFit="1" customWidth="1"/>
    <col min="356" max="356" width="15.140625" bestFit="1" customWidth="1"/>
    <col min="357" max="357" width="21.5703125" bestFit="1" customWidth="1"/>
    <col min="358" max="358" width="14.85546875" bestFit="1" customWidth="1"/>
    <col min="359" max="359" width="32.7109375" bestFit="1" customWidth="1"/>
    <col min="360" max="360" width="39.140625" bestFit="1" customWidth="1"/>
    <col min="361" max="361" width="32.42578125" bestFit="1" customWidth="1"/>
    <col min="362" max="362" width="15.7109375" bestFit="1" customWidth="1"/>
    <col min="363" max="363" width="21.5703125" bestFit="1" customWidth="1"/>
    <col min="364" max="364" width="14.85546875" bestFit="1" customWidth="1"/>
    <col min="365" max="365" width="28.7109375" bestFit="1" customWidth="1"/>
    <col min="366" max="366" width="35.140625" bestFit="1" customWidth="1"/>
    <col min="367" max="367" width="28.42578125" bestFit="1" customWidth="1"/>
    <col min="368" max="368" width="15.140625" bestFit="1" customWidth="1"/>
    <col min="369" max="369" width="21.5703125" bestFit="1" customWidth="1"/>
    <col min="370" max="370" width="14.85546875" bestFit="1" customWidth="1"/>
    <col min="371" max="371" width="22.140625" bestFit="1" customWidth="1"/>
    <col min="372" max="372" width="28.42578125" bestFit="1" customWidth="1"/>
    <col min="373" max="373" width="21.85546875" bestFit="1" customWidth="1"/>
    <col min="374" max="374" width="20.140625" bestFit="1" customWidth="1"/>
    <col min="375" max="375" width="26.5703125" bestFit="1" customWidth="1"/>
    <col min="376" max="376" width="19.85546875" bestFit="1" customWidth="1"/>
  </cols>
  <sheetData>
    <row r="1" spans="1:33" x14ac:dyDescent="0.25">
      <c r="A1" s="5" t="s">
        <v>87</v>
      </c>
      <c r="B1" t="s" vm="3">
        <v>101</v>
      </c>
    </row>
    <row r="3" spans="1:33" x14ac:dyDescent="0.25">
      <c r="B3" s="5" t="s">
        <v>82</v>
      </c>
    </row>
    <row r="4" spans="1:33" ht="57" customHeight="1" x14ac:dyDescent="0.25">
      <c r="B4" s="26" t="s">
        <v>80</v>
      </c>
      <c r="C4" s="26"/>
      <c r="D4" s="26"/>
      <c r="E4" s="26"/>
      <c r="F4" s="26" t="s">
        <v>79</v>
      </c>
      <c r="G4" s="26"/>
      <c r="H4" s="26"/>
      <c r="I4" s="26"/>
      <c r="J4" s="59" t="s">
        <v>70</v>
      </c>
      <c r="K4" s="59"/>
      <c r="L4" s="59"/>
      <c r="M4" s="59"/>
      <c r="N4" s="26" t="s">
        <v>13</v>
      </c>
      <c r="O4" s="26"/>
      <c r="P4" s="26"/>
      <c r="Q4" s="26"/>
      <c r="R4" s="59" t="s">
        <v>33</v>
      </c>
      <c r="S4" s="59"/>
      <c r="T4" s="59"/>
      <c r="U4" s="59"/>
      <c r="V4" s="26" t="s">
        <v>43</v>
      </c>
      <c r="W4" s="26"/>
      <c r="X4" s="26"/>
      <c r="Y4" s="26"/>
      <c r="Z4" s="26" t="s">
        <v>81</v>
      </c>
      <c r="AA4" s="26"/>
      <c r="AB4" s="26"/>
      <c r="AC4" s="26"/>
      <c r="AD4" s="27" t="s">
        <v>83</v>
      </c>
      <c r="AE4" s="27" t="s">
        <v>85</v>
      </c>
      <c r="AF4" s="27" t="s">
        <v>83</v>
      </c>
      <c r="AG4" s="82" t="s">
        <v>83</v>
      </c>
    </row>
    <row r="5" spans="1:33" ht="60" x14ac:dyDescent="0.25">
      <c r="A5" s="5" t="s">
        <v>74</v>
      </c>
      <c r="B5" s="27" t="s">
        <v>84</v>
      </c>
      <c r="C5" s="27" t="s">
        <v>86</v>
      </c>
      <c r="D5" s="27" t="s">
        <v>84</v>
      </c>
      <c r="E5" s="59" t="s">
        <v>84</v>
      </c>
      <c r="F5" s="27" t="s">
        <v>84</v>
      </c>
      <c r="G5" s="27" t="s">
        <v>86</v>
      </c>
      <c r="H5" s="27" t="s">
        <v>84</v>
      </c>
      <c r="I5" s="59" t="s">
        <v>84</v>
      </c>
      <c r="J5" t="s">
        <v>84</v>
      </c>
      <c r="K5" t="s">
        <v>86</v>
      </c>
      <c r="L5" t="s">
        <v>84</v>
      </c>
      <c r="M5" t="s">
        <v>84</v>
      </c>
      <c r="N5" s="27" t="s">
        <v>84</v>
      </c>
      <c r="O5" s="27" t="s">
        <v>86</v>
      </c>
      <c r="P5" s="27" t="s">
        <v>84</v>
      </c>
      <c r="Q5" s="59" t="s">
        <v>84</v>
      </c>
      <c r="R5" t="s">
        <v>84</v>
      </c>
      <c r="S5" t="s">
        <v>86</v>
      </c>
      <c r="T5" t="s">
        <v>84</v>
      </c>
      <c r="U5" t="s">
        <v>84</v>
      </c>
      <c r="V5" s="27" t="s">
        <v>84</v>
      </c>
      <c r="W5" s="27" t="s">
        <v>86</v>
      </c>
      <c r="X5" s="27" t="s">
        <v>84</v>
      </c>
      <c r="Y5" s="59" t="s">
        <v>84</v>
      </c>
      <c r="Z5" s="27" t="s">
        <v>84</v>
      </c>
      <c r="AA5" s="27" t="s">
        <v>86</v>
      </c>
      <c r="AB5" s="27" t="s">
        <v>84</v>
      </c>
      <c r="AC5" s="59" t="s">
        <v>84</v>
      </c>
      <c r="AD5" s="27"/>
      <c r="AE5" s="27"/>
      <c r="AF5" s="27"/>
      <c r="AG5" s="60"/>
    </row>
    <row r="6" spans="1:33" x14ac:dyDescent="0.25">
      <c r="A6" s="2" t="s">
        <v>60</v>
      </c>
      <c r="B6" s="26"/>
      <c r="C6" s="26">
        <v>2</v>
      </c>
      <c r="D6" s="26"/>
      <c r="E6" s="26"/>
      <c r="F6" s="26"/>
      <c r="G6" s="26"/>
      <c r="H6" s="26"/>
      <c r="I6" s="26"/>
      <c r="J6" s="26"/>
      <c r="K6" s="26"/>
      <c r="L6" s="26">
        <v>1</v>
      </c>
      <c r="M6" s="26"/>
      <c r="N6" s="26"/>
      <c r="O6" s="26"/>
      <c r="P6" s="26"/>
      <c r="Q6" s="26"/>
      <c r="R6" s="26"/>
      <c r="S6" s="26"/>
      <c r="T6" s="26"/>
      <c r="U6" s="26"/>
      <c r="V6" s="26"/>
      <c r="W6" s="26"/>
      <c r="X6" s="26"/>
      <c r="Y6" s="26"/>
      <c r="Z6" s="26"/>
      <c r="AA6" s="26"/>
      <c r="AB6" s="26"/>
      <c r="AC6" s="26"/>
      <c r="AD6" s="26"/>
      <c r="AE6" s="26">
        <v>2</v>
      </c>
      <c r="AF6" s="26">
        <v>1</v>
      </c>
      <c r="AG6" s="26"/>
    </row>
    <row r="7" spans="1:33" x14ac:dyDescent="0.25">
      <c r="A7" s="2" t="s">
        <v>204</v>
      </c>
      <c r="B7" s="26"/>
      <c r="C7" s="26">
        <v>4</v>
      </c>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v>4</v>
      </c>
      <c r="AF7" s="26"/>
      <c r="AG7" s="26"/>
    </row>
    <row r="8" spans="1:33" x14ac:dyDescent="0.25">
      <c r="A8" s="2" t="s">
        <v>14</v>
      </c>
      <c r="B8" s="26"/>
      <c r="C8" s="26"/>
      <c r="D8" s="26"/>
      <c r="E8" s="26">
        <v>2</v>
      </c>
      <c r="F8" s="26"/>
      <c r="G8" s="26"/>
      <c r="H8" s="26"/>
      <c r="I8" s="26"/>
      <c r="J8" s="26"/>
      <c r="K8" s="26"/>
      <c r="L8" s="26"/>
      <c r="M8" s="26"/>
      <c r="N8" s="26"/>
      <c r="O8" s="26"/>
      <c r="P8" s="26"/>
      <c r="Q8" s="26"/>
      <c r="R8" s="26"/>
      <c r="S8" s="26"/>
      <c r="T8" s="26"/>
      <c r="U8" s="26"/>
      <c r="V8" s="26"/>
      <c r="W8" s="26"/>
      <c r="X8" s="26"/>
      <c r="Y8" s="26"/>
      <c r="Z8" s="26"/>
      <c r="AA8" s="26"/>
      <c r="AB8" s="26"/>
      <c r="AC8" s="26">
        <v>1</v>
      </c>
      <c r="AD8" s="26"/>
      <c r="AE8" s="26"/>
      <c r="AF8" s="26"/>
      <c r="AG8" s="26">
        <v>3</v>
      </c>
    </row>
    <row r="9" spans="1:33" x14ac:dyDescent="0.25">
      <c r="A9" s="2" t="s">
        <v>65</v>
      </c>
      <c r="B9" s="26"/>
      <c r="C9" s="26">
        <v>4</v>
      </c>
      <c r="D9" s="26"/>
      <c r="E9" s="26"/>
      <c r="F9" s="26"/>
      <c r="G9" s="26"/>
      <c r="H9" s="26"/>
      <c r="I9" s="26"/>
      <c r="J9" s="26"/>
      <c r="K9" s="26"/>
      <c r="L9" s="26">
        <v>1</v>
      </c>
      <c r="M9" s="26"/>
      <c r="N9" s="26"/>
      <c r="O9" s="26"/>
      <c r="P9" s="26"/>
      <c r="Q9" s="26"/>
      <c r="R9" s="26"/>
      <c r="S9" s="26"/>
      <c r="T9" s="26"/>
      <c r="U9" s="26"/>
      <c r="V9" s="26"/>
      <c r="W9" s="26"/>
      <c r="X9" s="26"/>
      <c r="Y9" s="26"/>
      <c r="Z9" s="26">
        <v>1</v>
      </c>
      <c r="AA9" s="26"/>
      <c r="AB9" s="26"/>
      <c r="AC9" s="26"/>
      <c r="AD9" s="26">
        <v>1</v>
      </c>
      <c r="AE9" s="26">
        <v>4</v>
      </c>
      <c r="AF9" s="26">
        <v>1</v>
      </c>
      <c r="AG9" s="26"/>
    </row>
    <row r="10" spans="1:33" x14ac:dyDescent="0.25">
      <c r="A10" s="2" t="s">
        <v>24</v>
      </c>
      <c r="B10" s="26"/>
      <c r="C10" s="26"/>
      <c r="D10" s="26"/>
      <c r="E10" s="26"/>
      <c r="F10" s="26"/>
      <c r="G10" s="26"/>
      <c r="H10" s="26"/>
      <c r="I10" s="26"/>
      <c r="J10" s="26"/>
      <c r="K10" s="26"/>
      <c r="L10" s="26"/>
      <c r="M10" s="26"/>
      <c r="N10" s="26">
        <v>1</v>
      </c>
      <c r="O10" s="26"/>
      <c r="P10" s="26"/>
      <c r="Q10" s="26"/>
      <c r="R10" s="26"/>
      <c r="S10" s="26"/>
      <c r="T10" s="26"/>
      <c r="U10" s="26"/>
      <c r="V10" s="26"/>
      <c r="W10" s="26"/>
      <c r="X10" s="26"/>
      <c r="Y10" s="26">
        <v>1</v>
      </c>
      <c r="Z10" s="26"/>
      <c r="AA10" s="26"/>
      <c r="AB10" s="26"/>
      <c r="AC10" s="26">
        <v>2</v>
      </c>
      <c r="AD10" s="26">
        <v>1</v>
      </c>
      <c r="AE10" s="26"/>
      <c r="AF10" s="26"/>
      <c r="AG10" s="26">
        <v>3</v>
      </c>
    </row>
    <row r="11" spans="1:33" x14ac:dyDescent="0.25">
      <c r="A11" s="2" t="s">
        <v>21</v>
      </c>
      <c r="B11" s="26"/>
      <c r="C11" s="26"/>
      <c r="D11" s="26"/>
      <c r="E11" s="26">
        <v>2</v>
      </c>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v>2</v>
      </c>
    </row>
    <row r="12" spans="1:33" x14ac:dyDescent="0.25">
      <c r="A12" s="2" t="s">
        <v>27</v>
      </c>
      <c r="B12" s="26"/>
      <c r="C12" s="26">
        <v>3</v>
      </c>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v>3</v>
      </c>
      <c r="AF12" s="26"/>
      <c r="AG12" s="26"/>
    </row>
    <row r="13" spans="1:33" x14ac:dyDescent="0.25">
      <c r="A13" s="2" t="s">
        <v>20</v>
      </c>
      <c r="B13" s="26"/>
      <c r="C13" s="26"/>
      <c r="D13" s="26"/>
      <c r="E13" s="26"/>
      <c r="F13" s="26"/>
      <c r="G13" s="26"/>
      <c r="H13" s="26"/>
      <c r="I13" s="26"/>
      <c r="J13" s="26"/>
      <c r="K13" s="26"/>
      <c r="L13" s="26"/>
      <c r="M13" s="26"/>
      <c r="N13" s="26">
        <v>1</v>
      </c>
      <c r="O13" s="26"/>
      <c r="P13" s="26"/>
      <c r="Q13" s="26"/>
      <c r="R13" s="26">
        <v>1</v>
      </c>
      <c r="S13" s="26"/>
      <c r="T13" s="26"/>
      <c r="U13" s="26"/>
      <c r="V13" s="26"/>
      <c r="W13" s="26"/>
      <c r="X13" s="26"/>
      <c r="Y13" s="26"/>
      <c r="Z13" s="26"/>
      <c r="AA13" s="26"/>
      <c r="AB13" s="26"/>
      <c r="AC13" s="26"/>
      <c r="AD13" s="26">
        <v>2</v>
      </c>
      <c r="AE13" s="26"/>
      <c r="AF13" s="26"/>
      <c r="AG13" s="26"/>
    </row>
    <row r="14" spans="1:33" x14ac:dyDescent="0.25">
      <c r="A14" s="2" t="s">
        <v>59</v>
      </c>
      <c r="B14" s="26"/>
      <c r="C14" s="26"/>
      <c r="D14" s="26"/>
      <c r="E14" s="26"/>
      <c r="F14" s="26"/>
      <c r="G14" s="26"/>
      <c r="H14" s="26"/>
      <c r="I14" s="26"/>
      <c r="J14" s="26"/>
      <c r="K14" s="26"/>
      <c r="L14" s="26"/>
      <c r="M14" s="26"/>
      <c r="N14" s="26">
        <v>1</v>
      </c>
      <c r="O14" s="26"/>
      <c r="P14" s="26"/>
      <c r="Q14" s="26"/>
      <c r="R14" s="26"/>
      <c r="S14" s="26"/>
      <c r="T14" s="26"/>
      <c r="U14" s="26"/>
      <c r="V14" s="26"/>
      <c r="W14" s="26"/>
      <c r="X14" s="26"/>
      <c r="Y14" s="26"/>
      <c r="Z14" s="26"/>
      <c r="AA14" s="26"/>
      <c r="AB14" s="26"/>
      <c r="AC14" s="26"/>
      <c r="AD14" s="26">
        <v>1</v>
      </c>
      <c r="AE14" s="26"/>
      <c r="AF14" s="26"/>
      <c r="AG14" s="26"/>
    </row>
    <row r="15" spans="1:33" x14ac:dyDescent="0.25">
      <c r="A15" s="2" t="s">
        <v>36</v>
      </c>
      <c r="B15" s="26"/>
      <c r="C15" s="26">
        <v>2</v>
      </c>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v>2</v>
      </c>
      <c r="AF15" s="26"/>
      <c r="AG15" s="26"/>
    </row>
    <row r="16" spans="1:33" x14ac:dyDescent="0.25">
      <c r="A16" s="2" t="s">
        <v>30</v>
      </c>
      <c r="B16" s="26"/>
      <c r="C16" s="26"/>
      <c r="D16" s="26"/>
      <c r="E16" s="26">
        <v>2</v>
      </c>
      <c r="F16" s="26"/>
      <c r="G16" s="26"/>
      <c r="H16" s="26"/>
      <c r="I16" s="26">
        <v>3</v>
      </c>
      <c r="J16" s="26"/>
      <c r="K16" s="26"/>
      <c r="L16" s="26"/>
      <c r="M16" s="26"/>
      <c r="N16" s="26"/>
      <c r="O16" s="26"/>
      <c r="P16" s="26"/>
      <c r="Q16" s="26"/>
      <c r="R16" s="26"/>
      <c r="S16" s="26"/>
      <c r="T16" s="26"/>
      <c r="U16" s="26"/>
      <c r="V16" s="26"/>
      <c r="W16" s="26"/>
      <c r="X16" s="26"/>
      <c r="Y16" s="26">
        <v>2</v>
      </c>
      <c r="Z16" s="26">
        <v>1</v>
      </c>
      <c r="AA16" s="26"/>
      <c r="AB16" s="26"/>
      <c r="AC16" s="26">
        <v>2</v>
      </c>
      <c r="AD16" s="26">
        <v>1</v>
      </c>
      <c r="AE16" s="26"/>
      <c r="AF16" s="26"/>
      <c r="AG16" s="26">
        <v>9</v>
      </c>
    </row>
    <row r="17" spans="1:33" x14ac:dyDescent="0.25">
      <c r="A17" s="2" t="s">
        <v>53</v>
      </c>
      <c r="B17" s="26"/>
      <c r="C17" s="26">
        <v>15</v>
      </c>
      <c r="D17" s="26"/>
      <c r="E17" s="26">
        <v>6</v>
      </c>
      <c r="F17" s="26"/>
      <c r="G17" s="26"/>
      <c r="H17" s="26"/>
      <c r="I17" s="26">
        <v>3</v>
      </c>
      <c r="J17" s="26"/>
      <c r="K17" s="26"/>
      <c r="L17" s="26">
        <v>2</v>
      </c>
      <c r="M17" s="26"/>
      <c r="N17" s="26">
        <v>3</v>
      </c>
      <c r="O17" s="26"/>
      <c r="P17" s="26"/>
      <c r="Q17" s="26"/>
      <c r="R17" s="26">
        <v>1</v>
      </c>
      <c r="S17" s="26"/>
      <c r="T17" s="26"/>
      <c r="U17" s="26"/>
      <c r="V17" s="26"/>
      <c r="W17" s="26"/>
      <c r="X17" s="26"/>
      <c r="Y17" s="26">
        <v>3</v>
      </c>
      <c r="Z17" s="26">
        <v>2</v>
      </c>
      <c r="AA17" s="26"/>
      <c r="AB17" s="26"/>
      <c r="AC17" s="26">
        <v>5</v>
      </c>
      <c r="AD17" s="26">
        <v>6</v>
      </c>
      <c r="AE17" s="26">
        <v>15</v>
      </c>
      <c r="AF17" s="26">
        <v>2</v>
      </c>
      <c r="AG17" s="26">
        <v>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M34"/>
  <sheetViews>
    <sheetView zoomScale="80" zoomScaleNormal="80" workbookViewId="0">
      <pane xSplit="1" ySplit="2" topLeftCell="B3" activePane="bottomRight" state="frozen"/>
      <selection activeCell="B15" sqref="B15"/>
      <selection pane="topRight" activeCell="B15" sqref="B15"/>
      <selection pane="bottomLeft" activeCell="B15" sqref="B15"/>
      <selection pane="bottomRight" activeCell="B15" sqref="B15"/>
    </sheetView>
  </sheetViews>
  <sheetFormatPr defaultRowHeight="15" x14ac:dyDescent="0.25"/>
  <cols>
    <col min="1" max="1" width="29" customWidth="1"/>
    <col min="2" max="2" width="14" customWidth="1"/>
    <col min="3" max="3" width="17" customWidth="1"/>
    <col min="4" max="4" width="12.85546875" customWidth="1"/>
    <col min="5" max="6" width="14.85546875" customWidth="1"/>
    <col min="7" max="7" width="20.5703125" customWidth="1"/>
    <col min="8" max="8" width="22.85546875" customWidth="1"/>
    <col min="9" max="9" width="22.140625" customWidth="1"/>
    <col min="10" max="10" width="25" customWidth="1"/>
    <col min="11" max="11" width="17.5703125" customWidth="1"/>
    <col min="12" max="12" width="21.7109375" customWidth="1"/>
    <col min="13" max="13" width="23" bestFit="1" customWidth="1"/>
    <col min="14" max="14" width="11.7109375" customWidth="1"/>
    <col min="15" max="15" width="10" customWidth="1"/>
    <col min="16" max="16" width="16.140625" customWidth="1"/>
    <col min="17" max="17" width="26.5703125" customWidth="1"/>
    <col min="18" max="18" width="7.140625" customWidth="1"/>
    <col min="19" max="19" width="17.28515625" bestFit="1" customWidth="1"/>
    <col min="20" max="20" width="11.7109375" customWidth="1"/>
    <col min="21" max="21" width="6.28515625" customWidth="1"/>
    <col min="22" max="22" width="21" bestFit="1" customWidth="1"/>
    <col min="23" max="23" width="6.28515625" customWidth="1"/>
    <col min="24" max="24" width="7.140625" bestFit="1" customWidth="1"/>
    <col min="25" max="26" width="11.140625" customWidth="1"/>
    <col min="27" max="27" width="16.7109375" customWidth="1"/>
    <col min="28" max="29" width="8.5703125" customWidth="1"/>
    <col min="30" max="30" width="10" customWidth="1"/>
    <col min="31" max="31" width="21.5703125" customWidth="1"/>
    <col min="32" max="32" width="15.140625" customWidth="1"/>
    <col min="33" max="33" width="14.85546875" bestFit="1" customWidth="1"/>
    <col min="34" max="34" width="11.7109375" customWidth="1"/>
    <col min="35" max="35" width="26.5703125" customWidth="1"/>
    <col min="36" max="36" width="13.5703125" customWidth="1"/>
    <col min="37" max="37" width="19.85546875" customWidth="1"/>
    <col min="38" max="38" width="16.7109375" customWidth="1"/>
    <col min="39" max="39" width="14.85546875" customWidth="1"/>
    <col min="40" max="40" width="17.85546875" customWidth="1"/>
    <col min="41" max="41" width="21.5703125" bestFit="1" customWidth="1"/>
    <col min="42" max="42" width="14.85546875" customWidth="1"/>
    <col min="43" max="43" width="15.140625" customWidth="1"/>
    <col min="44" max="44" width="21.5703125" customWidth="1"/>
    <col min="45" max="45" width="14.85546875" customWidth="1"/>
    <col min="46" max="46" width="15.140625" customWidth="1"/>
    <col min="47" max="47" width="21.5703125" bestFit="1" customWidth="1"/>
    <col min="48" max="48" width="14.85546875" bestFit="1" customWidth="1"/>
    <col min="49" max="49" width="20.140625" bestFit="1" customWidth="1"/>
    <col min="50" max="50" width="26.5703125" bestFit="1" customWidth="1"/>
    <col min="51" max="51" width="19.85546875" bestFit="1" customWidth="1"/>
    <col min="52" max="52" width="15.140625" bestFit="1" customWidth="1"/>
    <col min="53" max="53" width="21.5703125" bestFit="1" customWidth="1"/>
    <col min="54" max="54" width="14.85546875" bestFit="1" customWidth="1"/>
    <col min="55" max="55" width="15.7109375" bestFit="1" customWidth="1"/>
    <col min="56" max="56" width="21.5703125" bestFit="1" customWidth="1"/>
    <col min="57" max="57" width="14.85546875" bestFit="1" customWidth="1"/>
    <col min="58" max="58" width="17.85546875" bestFit="1" customWidth="1"/>
    <col min="59" max="59" width="21.5703125" bestFit="1" customWidth="1"/>
    <col min="60" max="60" width="14.85546875" bestFit="1" customWidth="1"/>
    <col min="61" max="61" width="15.140625" bestFit="1" customWidth="1"/>
    <col min="62" max="62" width="21.5703125" bestFit="1" customWidth="1"/>
    <col min="63" max="63" width="14.85546875" bestFit="1" customWidth="1"/>
    <col min="64" max="64" width="33.5703125" bestFit="1" customWidth="1"/>
    <col min="65" max="65" width="40" bestFit="1" customWidth="1"/>
    <col min="66" max="66" width="33.28515625" bestFit="1" customWidth="1"/>
    <col min="67" max="67" width="16.7109375" bestFit="1" customWidth="1"/>
    <col min="68" max="68" width="21.5703125" bestFit="1" customWidth="1"/>
    <col min="69" max="69" width="14.85546875" bestFit="1" customWidth="1"/>
    <col min="70" max="70" width="18.7109375" bestFit="1" customWidth="1"/>
    <col min="71" max="71" width="21.5703125" bestFit="1" customWidth="1"/>
    <col min="72" max="72" width="14.85546875" bestFit="1" customWidth="1"/>
    <col min="73" max="73" width="18.42578125" bestFit="1" customWidth="1"/>
    <col min="74" max="74" width="21.5703125" bestFit="1" customWidth="1"/>
    <col min="75" max="75" width="14.85546875" bestFit="1" customWidth="1"/>
    <col min="76" max="76" width="15.140625" bestFit="1" customWidth="1"/>
    <col min="77" max="77" width="21.5703125" bestFit="1" customWidth="1"/>
    <col min="78" max="78" width="14.85546875" bestFit="1" customWidth="1"/>
    <col min="79" max="79" width="15.140625" bestFit="1" customWidth="1"/>
    <col min="80" max="80" width="21.5703125" bestFit="1" customWidth="1"/>
    <col min="81" max="81" width="14.85546875" bestFit="1" customWidth="1"/>
    <col min="82" max="82" width="15.140625" bestFit="1" customWidth="1"/>
    <col min="83" max="83" width="21.5703125" bestFit="1" customWidth="1"/>
    <col min="84" max="84" width="14.85546875" bestFit="1" customWidth="1"/>
    <col min="85" max="85" width="15.7109375" bestFit="1" customWidth="1"/>
    <col min="86" max="86" width="21.5703125" bestFit="1" customWidth="1"/>
    <col min="87" max="87" width="14.85546875" bestFit="1" customWidth="1"/>
    <col min="88" max="88" width="17.85546875" bestFit="1" customWidth="1"/>
    <col min="89" max="89" width="21.5703125" bestFit="1" customWidth="1"/>
    <col min="90" max="90" width="14.85546875" bestFit="1" customWidth="1"/>
    <col min="91" max="91" width="15.140625" bestFit="1" customWidth="1"/>
    <col min="92" max="92" width="21.5703125" bestFit="1" customWidth="1"/>
    <col min="93" max="93" width="14.85546875" bestFit="1" customWidth="1"/>
    <col min="94" max="94" width="29.85546875" bestFit="1" customWidth="1"/>
    <col min="95" max="95" width="36.140625" bestFit="1" customWidth="1"/>
    <col min="96" max="96" width="29.42578125" bestFit="1" customWidth="1"/>
    <col min="97" max="97" width="20.28515625" bestFit="1" customWidth="1"/>
    <col min="98" max="98" width="21.5703125" bestFit="1" customWidth="1"/>
    <col min="99" max="99" width="14.85546875" bestFit="1" customWidth="1"/>
    <col min="100" max="100" width="18.7109375" bestFit="1" customWidth="1"/>
    <col min="101" max="101" width="21.5703125" bestFit="1" customWidth="1"/>
    <col min="102" max="102" width="14.85546875" bestFit="1" customWidth="1"/>
    <col min="103" max="103" width="18.42578125" bestFit="1" customWidth="1"/>
    <col min="104" max="104" width="21.5703125" bestFit="1" customWidth="1"/>
    <col min="105" max="105" width="14.85546875" bestFit="1" customWidth="1"/>
    <col min="106" max="106" width="15.140625" bestFit="1" customWidth="1"/>
    <col min="107" max="107" width="21.5703125" bestFit="1" customWidth="1"/>
    <col min="108" max="108" width="14.85546875" bestFit="1" customWidth="1"/>
    <col min="109" max="109" width="15.140625" bestFit="1" customWidth="1"/>
    <col min="110" max="110" width="21.5703125" bestFit="1" customWidth="1"/>
    <col min="111" max="111" width="14.85546875" bestFit="1" customWidth="1"/>
    <col min="112" max="112" width="15.140625" bestFit="1" customWidth="1"/>
    <col min="113" max="113" width="21.5703125" bestFit="1" customWidth="1"/>
    <col min="114" max="114" width="14.85546875" bestFit="1" customWidth="1"/>
    <col min="115" max="115" width="15.7109375" bestFit="1" customWidth="1"/>
    <col min="116" max="116" width="21.5703125" bestFit="1" customWidth="1"/>
    <col min="117" max="117" width="14.85546875" bestFit="1" customWidth="1"/>
    <col min="118" max="118" width="17.85546875" bestFit="1" customWidth="1"/>
    <col min="119" max="119" width="21.5703125" bestFit="1" customWidth="1"/>
    <col min="120" max="120" width="14.85546875" bestFit="1" customWidth="1"/>
    <col min="121" max="121" width="15.140625" bestFit="1" customWidth="1"/>
    <col min="122" max="122" width="21.5703125" bestFit="1" customWidth="1"/>
    <col min="123" max="123" width="14.85546875" bestFit="1" customWidth="1"/>
    <col min="124" max="124" width="33.28515625" bestFit="1" customWidth="1"/>
    <col min="125" max="125" width="39.7109375" bestFit="1" customWidth="1"/>
    <col min="126" max="126" width="33" bestFit="1" customWidth="1"/>
    <col min="127" max="127" width="15.140625" bestFit="1" customWidth="1"/>
    <col min="128" max="128" width="21.5703125" bestFit="1" customWidth="1"/>
    <col min="129" max="129" width="14.85546875" bestFit="1" customWidth="1"/>
    <col min="130" max="130" width="18.7109375" bestFit="1" customWidth="1"/>
    <col min="131" max="131" width="21.5703125" bestFit="1" customWidth="1"/>
    <col min="132" max="132" width="14.85546875" bestFit="1" customWidth="1"/>
    <col min="133" max="133" width="18.42578125" bestFit="1" customWidth="1"/>
    <col min="134" max="134" width="21.5703125" bestFit="1" customWidth="1"/>
    <col min="135" max="135" width="14.85546875" bestFit="1" customWidth="1"/>
    <col min="136" max="136" width="15.140625" bestFit="1" customWidth="1"/>
    <col min="137" max="137" width="21.5703125" bestFit="1" customWidth="1"/>
    <col min="138" max="138" width="14.85546875" bestFit="1" customWidth="1"/>
    <col min="139" max="139" width="15.140625" bestFit="1" customWidth="1"/>
    <col min="140" max="140" width="21.5703125" bestFit="1" customWidth="1"/>
    <col min="141" max="141" width="14.85546875" bestFit="1" customWidth="1"/>
    <col min="142" max="142" width="15.140625" bestFit="1" customWidth="1"/>
    <col min="143" max="143" width="21.5703125" bestFit="1" customWidth="1"/>
    <col min="144" max="144" width="14.85546875" bestFit="1" customWidth="1"/>
    <col min="145" max="145" width="15.7109375" bestFit="1" customWidth="1"/>
    <col min="146" max="146" width="21.5703125" bestFit="1" customWidth="1"/>
    <col min="147" max="147" width="14.85546875" bestFit="1" customWidth="1"/>
    <col min="148" max="148" width="17.85546875" bestFit="1" customWidth="1"/>
    <col min="149" max="149" width="21.5703125" bestFit="1" customWidth="1"/>
    <col min="150" max="150" width="14.85546875" bestFit="1" customWidth="1"/>
    <col min="151" max="151" width="15.140625" bestFit="1" customWidth="1"/>
    <col min="152" max="152" width="21.5703125" bestFit="1" customWidth="1"/>
    <col min="153" max="153" width="14.85546875" bestFit="1" customWidth="1"/>
    <col min="154" max="154" width="26.42578125" bestFit="1" customWidth="1"/>
    <col min="155" max="155" width="32.7109375" bestFit="1" customWidth="1"/>
    <col min="156" max="156" width="26.140625" bestFit="1" customWidth="1"/>
    <col min="157" max="157" width="15.140625" bestFit="1" customWidth="1"/>
    <col min="158" max="158" width="21.5703125" bestFit="1" customWidth="1"/>
    <col min="159" max="159" width="14.85546875" bestFit="1" customWidth="1"/>
    <col min="160" max="160" width="18.7109375" bestFit="1" customWidth="1"/>
    <col min="161" max="161" width="21.5703125" bestFit="1" customWidth="1"/>
    <col min="162" max="162" width="14.85546875" bestFit="1" customWidth="1"/>
    <col min="163" max="163" width="18.42578125" bestFit="1" customWidth="1"/>
    <col min="164" max="164" width="21.5703125" bestFit="1" customWidth="1"/>
    <col min="165" max="165" width="14.85546875" bestFit="1" customWidth="1"/>
    <col min="166" max="166" width="15.140625" bestFit="1" customWidth="1"/>
    <col min="167" max="167" width="21.5703125" bestFit="1" customWidth="1"/>
    <col min="168" max="168" width="14.85546875" bestFit="1" customWidth="1"/>
    <col min="169" max="169" width="15.140625" bestFit="1" customWidth="1"/>
    <col min="170" max="170" width="21.5703125" bestFit="1" customWidth="1"/>
    <col min="171" max="171" width="14.85546875" bestFit="1" customWidth="1"/>
    <col min="172" max="172" width="15.140625" bestFit="1" customWidth="1"/>
    <col min="173" max="173" width="21.5703125" bestFit="1" customWidth="1"/>
    <col min="174" max="174" width="14.85546875" bestFit="1" customWidth="1"/>
    <col min="175" max="175" width="15.7109375" bestFit="1" customWidth="1"/>
    <col min="176" max="176" width="21.5703125" bestFit="1" customWidth="1"/>
    <col min="177" max="177" width="14.85546875" bestFit="1" customWidth="1"/>
    <col min="178" max="178" width="17.85546875" bestFit="1" customWidth="1"/>
    <col min="179" max="179" width="21.5703125" bestFit="1" customWidth="1"/>
    <col min="180" max="180" width="14.85546875" bestFit="1" customWidth="1"/>
    <col min="181" max="181" width="15.140625" bestFit="1" customWidth="1"/>
    <col min="182" max="182" width="21.5703125" bestFit="1" customWidth="1"/>
    <col min="183" max="183" width="14.85546875" bestFit="1" customWidth="1"/>
    <col min="184" max="184" width="26.7109375" bestFit="1" customWidth="1"/>
    <col min="185" max="185" width="33" bestFit="1" customWidth="1"/>
    <col min="186" max="186" width="26.42578125" bestFit="1" customWidth="1"/>
    <col min="187" max="187" width="16.7109375" bestFit="1" customWidth="1"/>
    <col min="188" max="188" width="21.5703125" bestFit="1" customWidth="1"/>
    <col min="189" max="189" width="14.85546875" bestFit="1" customWidth="1"/>
    <col min="190" max="190" width="18.7109375" bestFit="1" customWidth="1"/>
    <col min="191" max="191" width="21.5703125" bestFit="1" customWidth="1"/>
    <col min="192" max="192" width="14.85546875" bestFit="1" customWidth="1"/>
    <col min="193" max="193" width="18.42578125" bestFit="1" customWidth="1"/>
    <col min="194" max="194" width="21.5703125" bestFit="1" customWidth="1"/>
    <col min="195" max="195" width="14.85546875" bestFit="1" customWidth="1"/>
    <col min="196" max="196" width="15.140625" bestFit="1" customWidth="1"/>
    <col min="197" max="197" width="21.5703125" bestFit="1" customWidth="1"/>
    <col min="198" max="198" width="14.85546875" bestFit="1" customWidth="1"/>
    <col min="199" max="199" width="15.140625" bestFit="1" customWidth="1"/>
    <col min="200" max="200" width="21.5703125" bestFit="1" customWidth="1"/>
    <col min="201" max="201" width="14.85546875" bestFit="1" customWidth="1"/>
    <col min="202" max="202" width="15.140625" bestFit="1" customWidth="1"/>
    <col min="203" max="203" width="21.5703125" bestFit="1" customWidth="1"/>
    <col min="204" max="204" width="14.85546875" bestFit="1" customWidth="1"/>
    <col min="205" max="205" width="15.7109375" bestFit="1" customWidth="1"/>
    <col min="206" max="206" width="21.5703125" bestFit="1" customWidth="1"/>
    <col min="207" max="207" width="14.85546875" bestFit="1" customWidth="1"/>
    <col min="208" max="208" width="17.85546875" bestFit="1" customWidth="1"/>
    <col min="209" max="209" width="21.5703125" bestFit="1" customWidth="1"/>
    <col min="210" max="210" width="14.85546875" bestFit="1" customWidth="1"/>
    <col min="211" max="211" width="15.140625" bestFit="1" customWidth="1"/>
    <col min="212" max="212" width="21.5703125" bestFit="1" customWidth="1"/>
    <col min="213" max="213" width="14.85546875" bestFit="1" customWidth="1"/>
    <col min="214" max="214" width="29.85546875" bestFit="1" customWidth="1"/>
    <col min="215" max="215" width="36.140625" bestFit="1" customWidth="1"/>
    <col min="216" max="216" width="29.42578125" bestFit="1" customWidth="1"/>
    <col min="217" max="217" width="15.140625" bestFit="1" customWidth="1"/>
    <col min="218" max="218" width="21.5703125" bestFit="1" customWidth="1"/>
    <col min="219" max="219" width="14.85546875" bestFit="1" customWidth="1"/>
    <col min="220" max="220" width="18.7109375" bestFit="1" customWidth="1"/>
    <col min="221" max="221" width="21.5703125" bestFit="1" customWidth="1"/>
    <col min="222" max="222" width="14.85546875" bestFit="1" customWidth="1"/>
    <col min="223" max="223" width="18.42578125" bestFit="1" customWidth="1"/>
    <col min="224" max="224" width="21.5703125" bestFit="1" customWidth="1"/>
    <col min="225" max="225" width="14.85546875" bestFit="1" customWidth="1"/>
    <col min="226" max="226" width="15.140625" bestFit="1" customWidth="1"/>
    <col min="227" max="227" width="21.5703125" bestFit="1" customWidth="1"/>
    <col min="228" max="228" width="14.85546875" bestFit="1" customWidth="1"/>
    <col min="229" max="229" width="15.140625" bestFit="1" customWidth="1"/>
    <col min="230" max="230" width="21.5703125" bestFit="1" customWidth="1"/>
    <col min="231" max="231" width="14.85546875" bestFit="1" customWidth="1"/>
    <col min="232" max="232" width="15.140625" bestFit="1" customWidth="1"/>
    <col min="233" max="233" width="21.5703125" bestFit="1" customWidth="1"/>
    <col min="234" max="234" width="14.85546875" bestFit="1" customWidth="1"/>
    <col min="235" max="235" width="15.7109375" bestFit="1" customWidth="1"/>
    <col min="236" max="236" width="21.5703125" bestFit="1" customWidth="1"/>
    <col min="237" max="237" width="14.85546875" bestFit="1" customWidth="1"/>
    <col min="238" max="238" width="17.85546875" bestFit="1" customWidth="1"/>
    <col min="239" max="239" width="21.5703125" bestFit="1" customWidth="1"/>
    <col min="240" max="240" width="14.85546875" bestFit="1" customWidth="1"/>
    <col min="241" max="241" width="15.140625" bestFit="1" customWidth="1"/>
    <col min="242" max="242" width="21.5703125" bestFit="1" customWidth="1"/>
    <col min="243" max="243" width="14.85546875" bestFit="1" customWidth="1"/>
    <col min="244" max="244" width="26.7109375" bestFit="1" customWidth="1"/>
    <col min="245" max="245" width="33" bestFit="1" customWidth="1"/>
    <col min="246" max="246" width="26.42578125" bestFit="1" customWidth="1"/>
    <col min="247" max="247" width="17.5703125" bestFit="1" customWidth="1"/>
    <col min="248" max="248" width="21.5703125" bestFit="1" customWidth="1"/>
    <col min="249" max="249" width="14.85546875" bestFit="1" customWidth="1"/>
    <col min="250" max="250" width="18.7109375" bestFit="1" customWidth="1"/>
    <col min="251" max="251" width="21.5703125" bestFit="1" customWidth="1"/>
    <col min="252" max="252" width="14.85546875" bestFit="1" customWidth="1"/>
    <col min="253" max="253" width="18.42578125" bestFit="1" customWidth="1"/>
    <col min="254" max="254" width="21.5703125" bestFit="1" customWidth="1"/>
    <col min="255" max="255" width="14.85546875" bestFit="1" customWidth="1"/>
    <col min="256" max="256" width="15.140625" bestFit="1" customWidth="1"/>
    <col min="257" max="257" width="21.5703125" bestFit="1" customWidth="1"/>
    <col min="258" max="258" width="14.85546875" bestFit="1" customWidth="1"/>
    <col min="259" max="259" width="15.140625" bestFit="1" customWidth="1"/>
    <col min="260" max="260" width="21.5703125" bestFit="1" customWidth="1"/>
    <col min="261" max="261" width="14.85546875" bestFit="1" customWidth="1"/>
    <col min="262" max="262" width="15.140625" bestFit="1" customWidth="1"/>
    <col min="263" max="263" width="21.5703125" bestFit="1" customWidth="1"/>
    <col min="264" max="264" width="14.85546875" bestFit="1" customWidth="1"/>
    <col min="265" max="265" width="15.7109375" bestFit="1" customWidth="1"/>
    <col min="266" max="266" width="21.5703125" bestFit="1" customWidth="1"/>
    <col min="267" max="267" width="14.85546875" bestFit="1" customWidth="1"/>
    <col min="268" max="268" width="17.85546875" bestFit="1" customWidth="1"/>
    <col min="269" max="269" width="21.5703125" bestFit="1" customWidth="1"/>
    <col min="270" max="270" width="14.85546875" bestFit="1" customWidth="1"/>
    <col min="271" max="271" width="15.140625" bestFit="1" customWidth="1"/>
    <col min="272" max="272" width="21.5703125" bestFit="1" customWidth="1"/>
    <col min="273" max="273" width="14.85546875" bestFit="1" customWidth="1"/>
    <col min="274" max="274" width="30.7109375" bestFit="1" customWidth="1"/>
    <col min="275" max="275" width="37" bestFit="1" customWidth="1"/>
    <col min="276" max="276" width="30.42578125" bestFit="1" customWidth="1"/>
    <col min="277" max="277" width="16.85546875" bestFit="1" customWidth="1"/>
    <col min="278" max="278" width="21.5703125" bestFit="1" customWidth="1"/>
    <col min="279" max="279" width="14.85546875" bestFit="1" customWidth="1"/>
    <col min="280" max="280" width="18.7109375" bestFit="1" customWidth="1"/>
    <col min="281" max="281" width="21.5703125" bestFit="1" customWidth="1"/>
    <col min="282" max="282" width="14.85546875" bestFit="1" customWidth="1"/>
    <col min="283" max="283" width="18.42578125" bestFit="1" customWidth="1"/>
    <col min="284" max="284" width="21.5703125" bestFit="1" customWidth="1"/>
    <col min="285" max="285" width="14.85546875" bestFit="1" customWidth="1"/>
    <col min="286" max="286" width="15.140625" bestFit="1" customWidth="1"/>
    <col min="287" max="287" width="21.5703125" bestFit="1" customWidth="1"/>
    <col min="288" max="288" width="14.85546875" bestFit="1" customWidth="1"/>
    <col min="289" max="289" width="15.140625" bestFit="1" customWidth="1"/>
    <col min="290" max="290" width="21.5703125" bestFit="1" customWidth="1"/>
    <col min="291" max="291" width="14.85546875" bestFit="1" customWidth="1"/>
    <col min="292" max="292" width="15.140625" bestFit="1" customWidth="1"/>
    <col min="293" max="293" width="21.5703125" bestFit="1" customWidth="1"/>
    <col min="294" max="294" width="14.85546875" bestFit="1" customWidth="1"/>
    <col min="295" max="295" width="15.7109375" bestFit="1" customWidth="1"/>
    <col min="296" max="296" width="21.5703125" bestFit="1" customWidth="1"/>
    <col min="297" max="297" width="14.85546875" bestFit="1" customWidth="1"/>
    <col min="298" max="298" width="17.85546875" bestFit="1" customWidth="1"/>
    <col min="299" max="299" width="21.5703125" bestFit="1" customWidth="1"/>
    <col min="300" max="300" width="14.85546875" bestFit="1" customWidth="1"/>
    <col min="301" max="301" width="15.140625" bestFit="1" customWidth="1"/>
    <col min="302" max="302" width="21.5703125" bestFit="1" customWidth="1"/>
    <col min="303" max="303" width="14.85546875" bestFit="1" customWidth="1"/>
    <col min="304" max="304" width="30" bestFit="1" customWidth="1"/>
    <col min="305" max="305" width="36.28515625" bestFit="1" customWidth="1"/>
    <col min="306" max="306" width="29.7109375" bestFit="1" customWidth="1"/>
    <col min="307" max="307" width="24.7109375" bestFit="1" customWidth="1"/>
    <col min="308" max="308" width="21.5703125" bestFit="1" customWidth="1"/>
    <col min="309" max="309" width="14.85546875" bestFit="1" customWidth="1"/>
    <col min="310" max="310" width="18.7109375" bestFit="1" customWidth="1"/>
    <col min="311" max="311" width="21.5703125" bestFit="1" customWidth="1"/>
    <col min="312" max="312" width="14.85546875" bestFit="1" customWidth="1"/>
    <col min="313" max="313" width="18.42578125" bestFit="1" customWidth="1"/>
    <col min="314" max="314" width="21.5703125" bestFit="1" customWidth="1"/>
    <col min="315" max="315" width="14.85546875" bestFit="1" customWidth="1"/>
    <col min="316" max="316" width="15.140625" bestFit="1" customWidth="1"/>
    <col min="317" max="317" width="21.5703125" bestFit="1" customWidth="1"/>
    <col min="318" max="318" width="14.85546875" bestFit="1" customWidth="1"/>
    <col min="319" max="319" width="15.140625" bestFit="1" customWidth="1"/>
    <col min="320" max="320" width="21.5703125" bestFit="1" customWidth="1"/>
    <col min="321" max="321" width="14.85546875" bestFit="1" customWidth="1"/>
    <col min="322" max="322" width="15.140625" bestFit="1" customWidth="1"/>
    <col min="323" max="323" width="21.5703125" bestFit="1" customWidth="1"/>
    <col min="324" max="324" width="14.85546875" bestFit="1" customWidth="1"/>
    <col min="325" max="325" width="15.7109375" bestFit="1" customWidth="1"/>
    <col min="326" max="326" width="21.5703125" bestFit="1" customWidth="1"/>
    <col min="327" max="327" width="14.85546875" bestFit="1" customWidth="1"/>
    <col min="328" max="328" width="17.85546875" bestFit="1" customWidth="1"/>
    <col min="329" max="329" width="21.5703125" bestFit="1" customWidth="1"/>
    <col min="330" max="330" width="14.85546875" bestFit="1" customWidth="1"/>
    <col min="331" max="331" width="15.140625" bestFit="1" customWidth="1"/>
    <col min="332" max="332" width="21.5703125" bestFit="1" customWidth="1"/>
    <col min="333" max="333" width="14.85546875" bestFit="1" customWidth="1"/>
    <col min="334" max="334" width="37.7109375" bestFit="1" customWidth="1"/>
    <col min="335" max="335" width="44.140625" bestFit="1" customWidth="1"/>
    <col min="336" max="336" width="37.42578125" bestFit="1" customWidth="1"/>
    <col min="337" max="337" width="19.7109375" bestFit="1" customWidth="1"/>
    <col min="338" max="338" width="21.5703125" bestFit="1" customWidth="1"/>
    <col min="339" max="339" width="14.85546875" bestFit="1" customWidth="1"/>
    <col min="340" max="340" width="18.7109375" bestFit="1" customWidth="1"/>
    <col min="341" max="341" width="21.5703125" bestFit="1" customWidth="1"/>
    <col min="342" max="342" width="14.85546875" bestFit="1" customWidth="1"/>
    <col min="343" max="343" width="18.42578125" bestFit="1" customWidth="1"/>
    <col min="344" max="344" width="21.5703125" bestFit="1" customWidth="1"/>
    <col min="345" max="345" width="14.85546875" bestFit="1" customWidth="1"/>
    <col min="346" max="346" width="15.140625" bestFit="1" customWidth="1"/>
    <col min="347" max="347" width="21.5703125" bestFit="1" customWidth="1"/>
    <col min="348" max="348" width="14.85546875" bestFit="1" customWidth="1"/>
    <col min="349" max="349" width="15.140625" bestFit="1" customWidth="1"/>
    <col min="350" max="350" width="21.5703125" bestFit="1" customWidth="1"/>
    <col min="351" max="351" width="14.85546875" bestFit="1" customWidth="1"/>
    <col min="352" max="352" width="15.140625" bestFit="1" customWidth="1"/>
    <col min="353" max="353" width="21.5703125" bestFit="1" customWidth="1"/>
    <col min="354" max="354" width="14.85546875" bestFit="1" customWidth="1"/>
    <col min="355" max="355" width="15.7109375" bestFit="1" customWidth="1"/>
    <col min="356" max="356" width="21.5703125" bestFit="1" customWidth="1"/>
    <col min="357" max="357" width="14.85546875" bestFit="1" customWidth="1"/>
    <col min="358" max="358" width="17.85546875" bestFit="1" customWidth="1"/>
    <col min="359" max="359" width="21.5703125" bestFit="1" customWidth="1"/>
    <col min="360" max="360" width="14.85546875" bestFit="1" customWidth="1"/>
    <col min="361" max="361" width="15.140625" bestFit="1" customWidth="1"/>
    <col min="362" max="362" width="21.5703125" bestFit="1" customWidth="1"/>
    <col min="363" max="363" width="14.85546875" bestFit="1" customWidth="1"/>
    <col min="364" max="364" width="32.7109375" bestFit="1" customWidth="1"/>
    <col min="365" max="365" width="39.140625" bestFit="1" customWidth="1"/>
    <col min="366" max="366" width="32.42578125" bestFit="1" customWidth="1"/>
    <col min="367" max="367" width="15.7109375" bestFit="1" customWidth="1"/>
    <col min="368" max="368" width="21.5703125" bestFit="1" customWidth="1"/>
    <col min="369" max="369" width="14.85546875" bestFit="1" customWidth="1"/>
    <col min="370" max="370" width="28.7109375" bestFit="1" customWidth="1"/>
    <col min="371" max="371" width="35.140625" bestFit="1" customWidth="1"/>
    <col min="372" max="372" width="28.42578125" bestFit="1" customWidth="1"/>
    <col min="373" max="373" width="15.140625" bestFit="1" customWidth="1"/>
    <col min="374" max="374" width="21.5703125" bestFit="1" customWidth="1"/>
    <col min="375" max="375" width="14.85546875" bestFit="1" customWidth="1"/>
    <col min="376" max="376" width="22.140625" bestFit="1" customWidth="1"/>
    <col min="377" max="377" width="28.42578125" bestFit="1" customWidth="1"/>
    <col min="378" max="378" width="21.85546875" bestFit="1" customWidth="1"/>
    <col min="379" max="379" width="20.140625" bestFit="1" customWidth="1"/>
    <col min="380" max="380" width="26.5703125" bestFit="1" customWidth="1"/>
    <col min="381" max="381" width="19.85546875" bestFit="1" customWidth="1"/>
  </cols>
  <sheetData>
    <row r="2" spans="1:13" ht="48" customHeight="1" x14ac:dyDescent="0.25">
      <c r="A2" s="42" t="s">
        <v>91</v>
      </c>
      <c r="B2" s="39" t="s">
        <v>88</v>
      </c>
      <c r="C2" s="39" t="s">
        <v>180</v>
      </c>
      <c r="D2" s="39" t="s">
        <v>79</v>
      </c>
      <c r="E2" s="39" t="s">
        <v>181</v>
      </c>
      <c r="F2" s="39" t="s">
        <v>182</v>
      </c>
      <c r="G2" s="39" t="s">
        <v>43</v>
      </c>
      <c r="H2" s="39" t="s">
        <v>183</v>
      </c>
      <c r="I2" s="39" t="s">
        <v>81</v>
      </c>
      <c r="J2" s="39" t="s">
        <v>184</v>
      </c>
      <c r="K2" s="39" t="s">
        <v>13</v>
      </c>
      <c r="L2" s="39" t="s">
        <v>185</v>
      </c>
      <c r="M2" s="39" t="s">
        <v>92</v>
      </c>
    </row>
    <row r="3" spans="1:13" x14ac:dyDescent="0.25">
      <c r="A3" s="35" t="s">
        <v>60</v>
      </c>
      <c r="B3" s="40">
        <f>IFERROR(GETPIVOTDATA("[Measures].[Count of Tip AD]",Pivot_Leveling!$A$3,"[Tipul_Procedurii].[Procedura]","[Tipul_Procedurii].[Procedura].&amp;[AD complexa]","[Responsabil_achizitie].[Responsabil achizitie]","[Responsabil_achizitie].[Responsabil achizitie].&amp;[ALEXANDRU Anisia]"),0)</f>
        <v>2</v>
      </c>
      <c r="C3" s="40">
        <f>IFERROR(GETPIVOTDATA("[Measures].[Count of Tip procedura 3]",Pivot_Leveling!$A$3,"[Tipul_Procedurii].[Procedura]","[Tipul_Procedurii].[Procedura].&amp;[AD complexa]","[Responsabil_achizitie].[Responsabil achizitie]","[Responsabil_achizitie].[Responsabil achizitie].&amp;[ALEXANDRU Anisia]"),0)</f>
        <v>0</v>
      </c>
      <c r="D3" s="40">
        <f>IFERROR(GETPIVOTDATA("[Measures].[Count of Tip AD]",Pivot_Leveling!$A$3,"[Tipul_Procedurii].[Procedura]","[Tipul_Procedurii].[Procedura].&amp;[AD simpla]","[Responsabil_achizitie].[Responsabil achizitie]","[Responsabil_achizitie].[Responsabil achizitie].&amp;[ALEXANDRU Anisia]"),0)</f>
        <v>0</v>
      </c>
      <c r="E3" s="40">
        <f>IFERROR(GETPIVOTDATA("[Measures].[Count of Tip procedura 3]",Pivot_Leveling!$A$3,"[Tipul_Procedurii].[Procedura]","[Tipul_Procedurii].[Procedura].&amp;[AD simpla]","[Responsabil_achizitie].[Responsabil achizitie]","[Responsabil_achizitie].[Responsabil achizitie].&amp;[ALEXANDRU Anisia]"),0)</f>
        <v>0</v>
      </c>
      <c r="F3" s="40">
        <f>IFERROR(GETPIVOTDATA("[Measures].[Count of Tip procedura]",Pivot_Leveling!$A$3,"[Tipul_Procedurii].[Procedura]","[Tipul_Procedurii].[Procedura].&amp;[Exceptie art. 29 L98/2016]","[Responsabil_achizitie].[Responsabil achizitie]","[Responsabil_achizitie].[Responsabil achizitie].&amp;[ALEXANDRU Anisia]"),0)</f>
        <v>0</v>
      </c>
      <c r="G3" s="40">
        <f>IFERROR(GETPIVOTDATA("[Measures].[Count of Tip procedura]",Pivot_Leveling!$A$3,"[Tipul_Procedurii].[Procedura]","[Tipul_Procedurii].[Procedura].&amp;[Procedura proprie]","[Responsabil_achizitie].[Responsabil achizitie]","[Responsabil_achizitie].[Responsabil achizitie].&amp;[ALEXANDRU Anisia]"),0)</f>
        <v>0</v>
      </c>
      <c r="H3" s="40">
        <f>IFERROR(GETPIVOTDATA("[Measures].[Count of Tip procedura 3]",Pivot_Leveling!$A$3,"[Tipul_Procedurii].[Procedura]","[Tipul_Procedurii].[Procedura].&amp;[Procedura proprie]","[Responsabil_achizitie].[Responsabil achizitie]","[Responsabil_achizitie].[Responsabil achizitie].&amp;[ALEXANDRU Anisia]"),0)</f>
        <v>0</v>
      </c>
      <c r="I3" s="40">
        <f>IFERROR(GETPIVOTDATA("[Measures].[Count of Tip procedura 2]",Pivot_Leveling!$A$3,"[Tipul_Procedurii].[Procedura]","[Tipul_Procedurii].[Procedura].&amp;[Procedura simplificata]","[Responsabil_achizitie].[Responsabil achizitie]","[Responsabil_achizitie].[Responsabil achizitie].&amp;[ALEXANDRU Anisia]"),0)</f>
        <v>0</v>
      </c>
      <c r="J3" s="40">
        <f>IFERROR(GETPIVOTDATA("[Measures].[Count of Tip procedura 3]",Pivot_Leveling!$A$3,"[Tipul_Procedurii].[Procedura]","[Tipul_Procedurii].[Procedura].&amp;[Procedura simplificata]","[Responsabil_achizitie].[Responsabil achizitie]","[Responsabil_achizitie].[Responsabil achizitie].&amp;[ALEXANDRU Anisia]"),0)</f>
        <v>0</v>
      </c>
      <c r="K3" s="40">
        <f>IFERROR(GETPIVOTDATA("[Measures].[Count of Tip procedura 2]",Pivot_Leveling!$A$3,"[Tipul_Procedurii].[Procedura]","[Tipul_Procedurii].[Procedura].&amp;[Licitatie deschisa]","[Responsabil_achizitie].[Responsabil achizitie]","[Responsabil_achizitie].[Responsabil achizitie].&amp;[ALEXANDRU Anisia]"),0)</f>
        <v>0</v>
      </c>
      <c r="L3" s="40">
        <f>IFERROR(GETPIVOTDATA("[Measures].[Count of Tip procedura 3]",Pivot_Leveling!$A$3,"[Tipul_Procedurii].[Procedura]","[Tipul_Procedurii].[Procedura].&amp;[Licitatie deschisa]","[Responsabil_achizitie].[Responsabil achizitie]","[Responsabil_achizitie].[Responsabil achizitie].&amp;[ALEXANDRU Anisia]"),0)</f>
        <v>0</v>
      </c>
      <c r="M3" s="38">
        <f>SUBTOTAL(9,B3:L3)</f>
        <v>2</v>
      </c>
    </row>
    <row r="4" spans="1:13" x14ac:dyDescent="0.25">
      <c r="A4" s="35" t="s">
        <v>14</v>
      </c>
      <c r="B4" s="40">
        <f>IFERROR(GETPIVOTDATA("[Measures].[Count of Tip AD]",Pivot_Leveling!$A$3,"[Tipul_Procedurii].[Procedura]","[Tipul_Procedurii].[Procedura].&amp;[AD complexa]","[Responsabil_achizitie].[Responsabil achizitie]","[Responsabil_achizitie].[Responsabil achizitie].&amp;[BACNEANU Virginia]"),0)</f>
        <v>0</v>
      </c>
      <c r="C4" s="40">
        <f>IFERROR(GETPIVOTDATA("[Measures].[Count of Tip procedura 3]",Pivot_Leveling!$A$3,"[Tipul_Procedurii].[Procedura]","[Tipul_Procedurii].[Procedura].&amp;[AD complexa]","[Responsabil_achizitie].[Responsabil achizitie]","[Responsabil_achizitie].[Responsabil achizitie].&amp;[BACNEANU Virginia]"),0)</f>
        <v>2</v>
      </c>
      <c r="D4" s="40">
        <f>IFERROR(GETPIVOTDATA("[Measures].[Count of Tip AD]",Pivot_Leveling!$A$3,"[Tipul_Procedurii].[Procedura]","[Tipul_Procedurii].[Procedura].&amp;[AD simpla]","[Responsabil_achizitie].[Responsabil achizitie]","[Responsabil_achizitie].[Responsabil achizitie].&amp;[BACNEANU Virginia]"),0)</f>
        <v>0</v>
      </c>
      <c r="E4" s="40">
        <f>IFERROR(GETPIVOTDATA("[Measures].[Count of Tip procedura 3]",Pivot_Leveling!$A$3,"[Tipul_Procedurii].[Procedura]","[Tipul_Procedurii].[Procedura].&amp;[AD simpla]","[Responsabil_achizitie].[Responsabil achizitie]","[Responsabil_achizitie].[Responsabil achizitie].&amp;[BACNEANU Virginia]"),0)</f>
        <v>0</v>
      </c>
      <c r="F4" s="40">
        <f>IFERROR(GETPIVOTDATA("[Measures].[Count of Tip procedura]",Pivot_Leveling!$A$3,"[Tipul_Procedurii].[Procedura]","[Tipul_Procedurii].[Procedura].&amp;[Exceptie art. 29 L98/2016]","[Responsabil_achizitie].[Responsabil achizitie]","[Responsabil_achizitie].[Responsabil achizitie].&amp;[BACNEANU Virginia]"),0)</f>
        <v>0</v>
      </c>
      <c r="G4" s="40">
        <f>IFERROR(GETPIVOTDATA("[Measures].[Count of Tip procedura]",Pivot_Leveling!$A$3,"[Tipul_Procedurii].[Procedura]","[Tipul_Procedurii].[Procedura].&amp;[Procedura proprie]","[Responsabil_achizitie].[Responsabil achizitie]","[Responsabil_achizitie].[Responsabil achizitie].&amp;[BACNEANU Virginia]"),0)</f>
        <v>0</v>
      </c>
      <c r="H4" s="40">
        <f>IFERROR(GETPIVOTDATA("[Measures].[Count of Tip procedura 3]",Pivot_Leveling!$A$3,"[Tipul_Procedurii].[Procedura]","[Tipul_Procedurii].[Procedura].&amp;[Procedura proprie]","[Responsabil_achizitie].[Responsabil achizitie]","[Responsabil_achizitie].[Responsabil achizitie].&amp;[BACNEANU Virginia]"),0)</f>
        <v>0</v>
      </c>
      <c r="I4" s="40">
        <f>IFERROR(GETPIVOTDATA("[Measures].[Count of Tip procedura 2]",Pivot_Leveling!$A$3,"[Tipul_Procedurii].[Procedura]","[Tipul_Procedurii].[Procedura].&amp;[Procedura simplificata]","[Responsabil_achizitie].[Responsabil achizitie]","[Responsabil_achizitie].[Responsabil achizitie].&amp;[BACNEANU Virginia]"),0)</f>
        <v>0</v>
      </c>
      <c r="J4" s="40">
        <f>IFERROR(GETPIVOTDATA("[Measures].[Count of Tip procedura 3]",Pivot_Leveling!$A$3,"[Tipul_Procedurii].[Procedura]","[Tipul_Procedurii].[Procedura].&amp;[Procedura simplificata]","[Responsabil_achizitie].[Responsabil achizitie]","[Responsabil_achizitie].[Responsabil achizitie].&amp;[BACNEANU Virginia]"),0)</f>
        <v>1</v>
      </c>
      <c r="K4" s="40">
        <f>IFERROR(GETPIVOTDATA("[Measures].[Count of Tip procedura 2]",Pivot_Leveling!$A$3,"[Tipul_Procedurii].[Procedura]","[Tipul_Procedurii].[Procedura].&amp;[Licitatie deschisa]","[Responsabil_achizitie].[Responsabil achizitie]","[Responsabil_achizitie].[Responsabil achizitie].&amp;[BACNEANU Virginia]"),0)</f>
        <v>0</v>
      </c>
      <c r="L4" s="40">
        <f>IFERROR(GETPIVOTDATA("[Measures].[Count of Tip procedura 3]",Pivot_Leveling!$A$3,"[Tipul_Procedurii].[Procedura]","[Tipul_Procedurii].[Procedura].&amp;[Licitatie deschisa]","[Responsabil_achizitie].[Responsabil achizitie]","[Responsabil_achizitie].[Responsabil achizitie].&amp;[BACNEANU Virginia]"),0)</f>
        <v>0</v>
      </c>
      <c r="M4" s="38">
        <f>SUBTOTAL(9,B4:L4)</f>
        <v>3</v>
      </c>
    </row>
    <row r="5" spans="1:13" x14ac:dyDescent="0.25">
      <c r="A5" s="35" t="s">
        <v>65</v>
      </c>
      <c r="B5" s="40">
        <f>IFERROR(GETPIVOTDATA("[Measures].[Count of Tip AD]",Pivot_Leveling!$A$3,"[Tipul_Procedurii].[Procedura]","[Tipul_Procedurii].[Procedura].&amp;[AD complexa]","[Responsabil_achizitie].[Responsabil achizitie]","[Responsabil_achizitie].[Responsabil achizitie].&amp;[BUZICA Cristian]"),0)</f>
        <v>4</v>
      </c>
      <c r="C5" s="40">
        <f>IFERROR(GETPIVOTDATA("[Measures].[Count of Tip procedura 3]",Pivot_Leveling!$A$3,"[Tipul_Procedurii].[Procedura]","[Tipul_Procedurii].[Procedura].&amp;[AD complexa]","[Responsabil_achizitie].[Responsabil achizitie]","[Responsabil_achizitie].[Responsabil achizitie].&amp;[BUZICA Cristian]"),0)</f>
        <v>0</v>
      </c>
      <c r="D5" s="40">
        <f>IFERROR(GETPIVOTDATA("[Measures].[Count of Tip AD]",Pivot_Leveling!$A$3,"[Tipul_Procedurii].[Procedura]","[Tipul_Procedurii].[Procedura].&amp;[AD simpla]","[Responsabil_achizitie].[Responsabil achizitie]","[Responsabil_achizitie].[Responsabil achizitie].&amp;[BUZICA Cristian]"),0)</f>
        <v>0</v>
      </c>
      <c r="E5" s="40">
        <f>IFERROR(GETPIVOTDATA("[Measures].[Count of Tip procedura 3]",Pivot_Leveling!$A$3,"[Tipul_Procedurii].[Procedura]","[Tipul_Procedurii].[Procedura].&amp;[AD simpla]","[Responsabil_achizitie].[Responsabil achizitie]","[Responsabil_achizitie].[Responsabil achizitie].&amp;[BUZICA Cristian]"),0)</f>
        <v>0</v>
      </c>
      <c r="F5" s="40">
        <f>IFERROR(GETPIVOTDATA("[Measures].[Count of Tip procedura]",Pivot_Leveling!$A$3,"[Tipul_Procedurii].[Procedura]","[Tipul_Procedurii].[Procedura].&amp;[Exceptie art. 29 L98/2016]","[Responsabil_achizitie].[Responsabil achizitie]","[Responsabil_achizitie].[Responsabil achizitie].&amp;[BUZICA Cristian]"),0)</f>
        <v>0</v>
      </c>
      <c r="G5" s="40">
        <f>IFERROR(GETPIVOTDATA("[Measures].[Count of Tip procedura]",Pivot_Leveling!$A$3,"[Tipul_Procedurii].[Procedura]","[Tipul_Procedurii].[Procedura].&amp;[Procedura proprie]","[Responsabil_achizitie].[Responsabil achizitie]","[Responsabil_achizitie].[Responsabil achizitie].&amp;[BUZICA Cristian]"),0)</f>
        <v>0</v>
      </c>
      <c r="H5" s="40">
        <f>IFERROR(GETPIVOTDATA("[Measures].[Count of Tip procedura 3]",Pivot_Leveling!$A$3,"[Tipul_Procedurii].[Procedura]","[Tipul_Procedurii].[Procedura].&amp;[Procedura proprie]","[Responsabil_achizitie].[Responsabil achizitie]","[Responsabil_achizitie].[Responsabil achizitie].&amp;[BUZICA Cristian]"),0)</f>
        <v>0</v>
      </c>
      <c r="I5" s="40">
        <f>IFERROR(GETPIVOTDATA("[Measures].[Count of Tip procedura 2]",Pivot_Leveling!$A$3,"[Tipul_Procedurii].[Procedura]","[Tipul_Procedurii].[Procedura].&amp;[Procedura simplificata]","[Responsabil_achizitie].[Responsabil achizitie]","[Responsabil_achizitie].[Responsabil achizitie].&amp;[BUZICA Cristian]"),0)</f>
        <v>1</v>
      </c>
      <c r="J5" s="40">
        <f>IFERROR(GETPIVOTDATA("[Measures].[Count of Tip procedura 3]",Pivot_Leveling!$A$3,"[Tipul_Procedurii].[Procedura]","[Tipul_Procedurii].[Procedura].&amp;[Procedura simplificata]","[Responsabil_achizitie].[Responsabil achizitie]","[Responsabil_achizitie].[Responsabil achizitie].&amp;[BUZICA Cristian]"),0)</f>
        <v>0</v>
      </c>
      <c r="K5" s="40">
        <f>IFERROR(GETPIVOTDATA("[Measures].[Count of Tip procedura 2]",Pivot_Leveling!$A$3,"[Tipul_Procedurii].[Procedura]","[Tipul_Procedurii].[Procedura].&amp;[Licitatie deschisa]","[Responsabil_achizitie].[Responsabil achizitie]","[Responsabil_achizitie].[Responsabil achizitie].&amp;[BUZICA Cristian]"),0)</f>
        <v>0</v>
      </c>
      <c r="L5" s="40">
        <f>IFERROR(GETPIVOTDATA("[Measures].[Count of Tip procedura 3]",Pivot_Leveling!$A$3,"[Tipul_Procedurii].[Procedura]","[Tipul_Procedurii].[Procedura].&amp;[Licitatie deschisa]","[Responsabil_achizitie].[Responsabil achizitie]","[Responsabil_achizitie].[Responsabil achizitie].&amp;[BUZICA Cristian]"),0)</f>
        <v>0</v>
      </c>
      <c r="M5" s="38">
        <f t="shared" ref="M5:M15" si="0">SUBTOTAL(9,B5:L5)</f>
        <v>5</v>
      </c>
    </row>
    <row r="6" spans="1:13" x14ac:dyDescent="0.25">
      <c r="A6" s="35" t="s">
        <v>24</v>
      </c>
      <c r="B6" s="40">
        <f>IFERROR(GETPIVOTDATA("[Measures].[Count of Tip AD]",Pivot_Leveling!$A$3,"[Tipul_Procedurii].[Procedura]","[Tipul_Procedurii].[Procedura].&amp;[AD complexa]","[Responsabil_achizitie].[Responsabil achizitie]","[Responsabil_achizitie].[Responsabil achizitie].&amp;[CIMPEANU Carmen]"),0)</f>
        <v>0</v>
      </c>
      <c r="C6" s="40">
        <f>IFERROR(GETPIVOTDATA("[Measures].[Count of Tip procedura 3]",Pivot_Leveling!$A$3,"[Tipul_Procedurii].[Procedura]","[Tipul_Procedurii].[Procedura].&amp;[AD complexa]","[Responsabil_achizitie].[Responsabil achizitie]","[Responsabil_achizitie].[Responsabil achizitie].&amp;[CIMPEANU Carmen]"),0)</f>
        <v>0</v>
      </c>
      <c r="D6" s="40">
        <f>IFERROR(GETPIVOTDATA("[Measures].[Count of Tip AD]",Pivot_Leveling!$A$3,"[Tipul_Procedurii].[Procedura]","[Tipul_Procedurii].[Procedura].&amp;[AD simpla]","[Responsabil_achizitie].[Responsabil achizitie]","[Responsabil_achizitie].[Responsabil achizitie].&amp;[CIMPEANU Carmen]"),0)</f>
        <v>0</v>
      </c>
      <c r="E6" s="40">
        <f>IFERROR(GETPIVOTDATA("[Measures].[Count of Tip procedura 3]",Pivot_Leveling!$A$3,"[Tipul_Procedurii].[Procedura]","[Tipul_Procedurii].[Procedura].&amp;[AD simpla]","[Responsabil_achizitie].[Responsabil achizitie]","[Responsabil_achizitie].[Responsabil achizitie].&amp;[CIMPEANU Carmen]"),0)</f>
        <v>0</v>
      </c>
      <c r="F6" s="40">
        <f>IFERROR(GETPIVOTDATA("[Measures].[Count of Tip procedura]",Pivot_Leveling!$A$3,"[Tipul_Procedurii].[Procedura]","[Tipul_Procedurii].[Procedura].&amp;[Exceptie art. 29 L98/2016]","[Responsabil_achizitie].[Responsabil achizitie]","[Responsabil_achizitie].[Responsabil achizitie].&amp;[CIMPEANU Carmen]"),0)</f>
        <v>0</v>
      </c>
      <c r="G6" s="40">
        <f>IFERROR(GETPIVOTDATA("[Measures].[Count of Tip procedura]",Pivot_Leveling!$A$3,"[Tipul_Procedurii].[Procedura]","[Tipul_Procedurii].[Procedura].&amp;[Procedura proprie]","[Responsabil_achizitie].[Responsabil achizitie]","[Responsabil_achizitie].[Responsabil achizitie].&amp;[CIMPEANU Carmen]"),0)</f>
        <v>0</v>
      </c>
      <c r="H6" s="40">
        <f>IFERROR(GETPIVOTDATA("[Measures].[Count of Tip procedura 3]",Pivot_Leveling!$A$3,"[Tipul_Procedurii].[Procedura]","[Tipul_Procedurii].[Procedura].&amp;[Procedura proprie]","[Responsabil_achizitie].[Responsabil achizitie]","[Responsabil_achizitie].[Responsabil achizitie].&amp;[CIMPEANU Carmen]"),0)</f>
        <v>1</v>
      </c>
      <c r="I6" s="40">
        <f>IFERROR(GETPIVOTDATA("[Measures].[Count of Tip procedura 2]",Pivot_Leveling!$A$3,"[Tipul_Procedurii].[Procedura]","[Tipul_Procedurii].[Procedura].&amp;[Procedura simplificata]","[Responsabil_achizitie].[Responsabil achizitie]","[Responsabil_achizitie].[Responsabil achizitie].&amp;[CIMPEANU Carmen]"),0)</f>
        <v>0</v>
      </c>
      <c r="J6" s="40">
        <f>IFERROR(GETPIVOTDATA("[Measures].[Count of Tip procedura 3]",Pivot_Leveling!$A$3,"[Tipul_Procedurii].[Procedura]","[Tipul_Procedurii].[Procedura].&amp;[Procedura simplificata]","[Responsabil_achizitie].[Responsabil achizitie]","[Responsabil_achizitie].[Responsabil achizitie].&amp;[CIMPEANU Carmen]"),0)</f>
        <v>2</v>
      </c>
      <c r="K6" s="40">
        <f>IFERROR(GETPIVOTDATA("[Measures].[Count of Tip procedura 2]",Pivot_Leveling!$A$3,"[Tipul_Procedurii].[Procedura]","[Tipul_Procedurii].[Procedura].&amp;[Licitatie deschisa]","[Responsabil_achizitie].[Responsabil achizitie]","[Responsabil_achizitie].[Responsabil achizitie].&amp;[CIMPEANU Carmen]"),0)</f>
        <v>1</v>
      </c>
      <c r="L6" s="40">
        <f>IFERROR(GETPIVOTDATA("[Measures].[Count of Tip procedura 3]",Pivot_Leveling!$A$3,"[Tipul_Procedurii].[Procedura]","[Tipul_Procedurii].[Procedura].&amp;[Licitatie deschisa]","[Responsabil_achizitie].[Responsabil achizitie]","[Responsabil_achizitie].[Responsabil achizitie].&amp;[CIMPEANU Carmen]"),0)</f>
        <v>0</v>
      </c>
      <c r="M6" s="38">
        <f t="shared" si="0"/>
        <v>4</v>
      </c>
    </row>
    <row r="7" spans="1:13" x14ac:dyDescent="0.25">
      <c r="A7" s="35" t="s">
        <v>21</v>
      </c>
      <c r="B7" s="40">
        <f>IFERROR(GETPIVOTDATA("[Measures].[Count of Tip AD]",Pivot_Leveling!$A$3,"[Tipul_Procedurii].[Procedura]","[Tipul_Procedurii].[Procedura].&amp;[AD complexa]","[Responsabil_achizitie].[Responsabil achizitie]","[Responsabil_achizitie].[Responsabil achizitie].&amp;[CRETU Anca]"),0)</f>
        <v>0</v>
      </c>
      <c r="C7" s="40">
        <f>IFERROR(GETPIVOTDATA("[Measures].[Count of Tip procedura 3]",Pivot_Leveling!$A$3,"[Tipul_Procedurii].[Procedura]","[Tipul_Procedurii].[Procedura].&amp;[AD complexa]","[Responsabil_achizitie].[Responsabil achizitie]","[Responsabil_achizitie].[Responsabil achizitie].&amp;[CRETU Anca]"),0)</f>
        <v>2</v>
      </c>
      <c r="D7" s="40">
        <f>IFERROR(GETPIVOTDATA("[Measures].[Count of Tip AD]",Pivot_Leveling!$A$3,"[Tipul_Procedurii].[Procedura]","[Tipul_Procedurii].[Procedura].&amp;[AD simpla]","[Responsabil_achizitie].[Responsabil achizitie]","[Responsabil_achizitie].[Responsabil achizitie].&amp;[CRETU Anca]"),0)</f>
        <v>0</v>
      </c>
      <c r="E7" s="40">
        <f>IFERROR(GETPIVOTDATA("[Measures].[Count of Tip procedura 3]",Pivot_Leveling!$A$3,"[Tipul_Procedurii].[Procedura]","[Tipul_Procedurii].[Procedura].&amp;[AD simpla]","[Responsabil_achizitie].[Responsabil achizitie]","[Responsabil_achizitie].[Responsabil achizitie].&amp;[CRETU Anca]"),0)</f>
        <v>0</v>
      </c>
      <c r="F7" s="40">
        <f>IFERROR(GETPIVOTDATA("[Measures].[Count of Tip procedura]",Pivot_Leveling!$A$3,"[Tipul_Procedurii].[Procedura]","[Tipul_Procedurii].[Procedura].&amp;[Exceptie art. 29 L98/2016]","[Responsabil_achizitie].[Responsabil achizitie]","[Responsabil_achizitie].[Responsabil achizitie].&amp;[CRETU Anca]"),0)</f>
        <v>0</v>
      </c>
      <c r="G7" s="40">
        <f>IFERROR(GETPIVOTDATA("[Measures].[Count of Tip procedura]",Pivot_Leveling!$A$3,"[Tipul_Procedurii].[Procedura]","[Tipul_Procedurii].[Procedura].&amp;[Procedura proprie]","[Responsabil_achizitie].[Responsabil achizitie]","[Responsabil_achizitie].[Responsabil achizitie].&amp;[CRETU Anca]"),0)</f>
        <v>0</v>
      </c>
      <c r="H7" s="40">
        <f>IFERROR(GETPIVOTDATA("[Measures].[Count of Tip procedura 3]",Pivot_Leveling!$A$3,"[Tipul_Procedurii].[Procedura]","[Tipul_Procedurii].[Procedura].&amp;[Procedura proprie]","[Responsabil_achizitie].[Responsabil achizitie]","[Responsabil_achizitie].[Responsabil achizitie].&amp;[CRETU Anca]"),0)</f>
        <v>0</v>
      </c>
      <c r="I7" s="40">
        <f>IFERROR(GETPIVOTDATA("[Measures].[Count of Tip procedura 2]",Pivot_Leveling!$A$3,"[Tipul_Procedurii].[Procedura]","[Tipul_Procedurii].[Procedura].&amp;[Procedura simplificata]","[Responsabil_achizitie].[Responsabil achizitie]","[Responsabil_achizitie].[Responsabil achizitie].&amp;[CRETU Anca]"),0)</f>
        <v>0</v>
      </c>
      <c r="J7" s="40">
        <f>IFERROR(GETPIVOTDATA("[Measures].[Count of Tip procedura 3]",Pivot_Leveling!$A$3,"[Tipul_Procedurii].[Procedura]","[Tipul_Procedurii].[Procedura].&amp;[Procedura simplificata]","[Responsabil_achizitie].[Responsabil achizitie]","[Responsabil_achizitie].[Responsabil achizitie].&amp;[CRETU Anca]"),0)</f>
        <v>0</v>
      </c>
      <c r="K7" s="40">
        <f>IFERROR(GETPIVOTDATA("[Measures].[Count of Tip procedura 2]",Pivot_Leveling!$A$3,"[Tipul_Procedurii].[Procedura]","[Tipul_Procedurii].[Procedura].&amp;[Licitatie deschisa]","[Responsabil_achizitie].[Responsabil achizitie]","[Responsabil_achizitie].[Responsabil achizitie].&amp;[CRETU Anca]"),0)</f>
        <v>0</v>
      </c>
      <c r="L7" s="40">
        <f>IFERROR(GETPIVOTDATA("[Measures].[Count of Tip procedura 3]",Pivot_Leveling!$A$3,"[Tipul_Procedurii].[Procedura]","[Tipul_Procedurii].[Procedura].&amp;[Licitatie deschisa]","[Responsabil_achizitie].[Responsabil achizitie]","[Responsabil_achizitie].[Responsabil achizitie].&amp;[CRETU Anca]"),0)</f>
        <v>0</v>
      </c>
      <c r="M7" s="38">
        <f t="shared" si="0"/>
        <v>2</v>
      </c>
    </row>
    <row r="8" spans="1:13" x14ac:dyDescent="0.25">
      <c r="A8" s="35" t="s">
        <v>27</v>
      </c>
      <c r="B8" s="40">
        <f>IFERROR(GETPIVOTDATA("[Measures].[Count of Tip AD]",Pivot_Leveling!$A$3,"[Tipul_Procedurii].[Procedura]","[Tipul_Procedurii].[Procedura].&amp;[AD complexa]","[Responsabil_achizitie].[Responsabil achizitie]","[Responsabil_achizitie].[Responsabil achizitie].&amp;[GHEORGHE Mirela]"),0)</f>
        <v>3</v>
      </c>
      <c r="C8" s="40">
        <f>IFERROR(GETPIVOTDATA("[Measures].[Count of Tip procedura 3]",Pivot_Leveling!$A$3,"[Tipul_Procedurii].[Procedura]","[Tipul_Procedurii].[Procedura].&amp;[AD complexa]","[Responsabil_achizitie].[Responsabil achizitie]","[Responsabil_achizitie].[Responsabil achizitie].&amp;[GHEORGHE Mirela]"),0)</f>
        <v>0</v>
      </c>
      <c r="D8" s="40">
        <f>IFERROR(GETPIVOTDATA("[Measures].[Count of Tip AD]",Pivot_Leveling!$A$3,"[Tipul_Procedurii].[Procedura]","[Tipul_Procedurii].[Procedura].&amp;[AD simpla]","[Responsabil_achizitie].[Responsabil achizitie]","[Responsabil_achizitie].[Responsabil achizitie].&amp;[GHEORGHE Mirela]"),0)</f>
        <v>0</v>
      </c>
      <c r="E8" s="40">
        <f>IFERROR(GETPIVOTDATA("[Measures].[Count of Tip procedura 3]",Pivot_Leveling!$A$3,"[Tipul_Procedurii].[Procedura]","[Tipul_Procedurii].[Procedura].&amp;[AD simpla]","[Responsabil_achizitie].[Responsabil achizitie]","[Responsabil_achizitie].[Responsabil achizitie].&amp;[GHEORGHE Mirela]"),0)</f>
        <v>0</v>
      </c>
      <c r="F8" s="40">
        <f>IFERROR(GETPIVOTDATA("[Measures].[Count of Tip procedura]",Pivot_Leveling!$A$3,"[Tipul_Procedurii].[Procedura]","[Tipul_Procedurii].[Procedura].&amp;[Exceptie art. 29 L98/2016]","[Responsabil_achizitie].[Responsabil achizitie]","[Responsabil_achizitie].[Responsabil achizitie].&amp;[GHEORGHE Mirela]"),0)</f>
        <v>0</v>
      </c>
      <c r="G8" s="40">
        <f>IFERROR(GETPIVOTDATA("[Measures].[Count of Tip procedura]",Pivot_Leveling!$A$3,"[Tipul_Procedurii].[Procedura]","[Tipul_Procedurii].[Procedura].&amp;[Procedura proprie]","[Responsabil_achizitie].[Responsabil achizitie]","[Responsabil_achizitie].[Responsabil achizitie].&amp;[GHEORGHE Mirela]"),0)</f>
        <v>0</v>
      </c>
      <c r="H8" s="40">
        <f>IFERROR(GETPIVOTDATA("[Measures].[Count of Tip procedura 3]",Pivot_Leveling!$A$3,"[Tipul_Procedurii].[Procedura]","[Tipul_Procedurii].[Procedura].&amp;[Procedura proprie]","[Responsabil_achizitie].[Responsabil achizitie]","[Responsabil_achizitie].[Responsabil achizitie].&amp;[GHEORGHE Mirela]"),0)</f>
        <v>0</v>
      </c>
      <c r="I8" s="40">
        <f>IFERROR(GETPIVOTDATA("[Measures].[Count of Tip procedura 2]",Pivot_Leveling!$A$3,"[Tipul_Procedurii].[Procedura]","[Tipul_Procedurii].[Procedura].&amp;[Procedura simplificata]","[Responsabil_achizitie].[Responsabil achizitie]","[Responsabil_achizitie].[Responsabil achizitie].&amp;[GHEORGHE Mirela]"),0)</f>
        <v>0</v>
      </c>
      <c r="J8" s="40">
        <f>IFERROR(GETPIVOTDATA("[Measures].[Count of Tip procedura 3]",Pivot_Leveling!$A$3,"[Tipul_Procedurii].[Procedura]","[Tipul_Procedurii].[Procedura].&amp;[Procedura simplificata]","[Responsabil_achizitie].[Responsabil achizitie]","[Responsabil_achizitie].[Responsabil achizitie].&amp;[GHEORGHE Mirela]"),0)</f>
        <v>0</v>
      </c>
      <c r="K8" s="40">
        <f>IFERROR(GETPIVOTDATA("[Measures].[Count of Tip procedura 2]",Pivot_Leveling!$A$3,"[Tipul_Procedurii].[Procedura]","[Tipul_Procedurii].[Procedura].&amp;[Licitatie deschisa]","[Responsabil_achizitie].[Responsabil achizitie]","[Responsabil_achizitie].[Responsabil achizitie].&amp;[GHEORGHE Mirela]"),0)</f>
        <v>0</v>
      </c>
      <c r="L8" s="40">
        <f>IFERROR(GETPIVOTDATA("[Measures].[Count of Tip procedura 3]",Pivot_Leveling!$A$3,"[Tipul_Procedurii].[Procedura]","[Tipul_Procedurii].[Procedura].&amp;[Licitatie deschisa]","[Responsabil_achizitie].[Responsabil achizitie]","[Responsabil_achizitie].[Responsabil achizitie].&amp;[GHEORGHE Mirela]"),0)</f>
        <v>0</v>
      </c>
      <c r="M8" s="38">
        <f t="shared" si="0"/>
        <v>3</v>
      </c>
    </row>
    <row r="9" spans="1:13" x14ac:dyDescent="0.25">
      <c r="A9" s="35" t="s">
        <v>20</v>
      </c>
      <c r="B9" s="40">
        <f>IFERROR(GETPIVOTDATA("[Measures].[Count of Tip AD]",Pivot_Leveling!$A$3,"[Tipul_Procedurii].[Procedura]","[Tipul_Procedurii].[Procedura].&amp;[AD complexa]","[Responsabil_achizitie].[Responsabil achizitie]","[Responsabil_achizitie].[Responsabil achizitie].&amp;[HORIA Alina]"),0)</f>
        <v>0</v>
      </c>
      <c r="C9" s="40">
        <f>IFERROR(GETPIVOTDATA("[Measures].[Count of Tip procedura 3]",Pivot_Leveling!$A$3,"[Tipul_Procedurii].[Procedura]","[Tipul_Procedurii].[Procedura].&amp;[AD complexa]","[Responsabil_achizitie].[Responsabil achizitie]","[Responsabil_achizitie].[Responsabil achizitie].&amp;[HORIA Alina]"),0)</f>
        <v>0</v>
      </c>
      <c r="D9" s="40">
        <f>IFERROR(GETPIVOTDATA("[Measures].[Count of Tip AD]",Pivot_Leveling!$A$3,"[Tipul_Procedurii].[Procedura]","[Tipul_Procedurii].[Procedura].&amp;[AD simpla]","[Responsabil_achizitie].[Responsabil achizitie]","[Responsabil_achizitie].[Responsabil achizitie].&amp;[HORIA Alina]"),0)</f>
        <v>0</v>
      </c>
      <c r="E9" s="40">
        <f>IFERROR(GETPIVOTDATA("[Measures].[Count of Tip procedura 3]",Pivot_Leveling!$A$3,"[Tipul_Procedurii].[Procedura]","[Tipul_Procedurii].[Procedura].&amp;[AD simpla]","[Responsabil_achizitie].[Responsabil achizitie]","[Responsabil_achizitie].[Responsabil achizitie].&amp;[HORIA Alina]"),0)</f>
        <v>0</v>
      </c>
      <c r="F9" s="40">
        <f>IFERROR(GETPIVOTDATA("[Measures].[Count of Tip procedura]",Pivot_Leveling!$A$3,"[Tipul_Procedurii].[Procedura]","[Tipul_Procedurii].[Procedura].&amp;[Exceptie art. 29 L98/2016]","[Responsabil_achizitie].[Responsabil achizitie]","[Responsabil_achizitie].[Responsabil achizitie].&amp;[HORIA Alina]"),0)</f>
        <v>0</v>
      </c>
      <c r="G9" s="40">
        <f>IFERROR(GETPIVOTDATA("[Measures].[Count of Tip procedura]",Pivot_Leveling!$A$3,"[Tipul_Procedurii].[Procedura]","[Tipul_Procedurii].[Procedura].&amp;[Procedura proprie]","[Responsabil_achizitie].[Responsabil achizitie]","[Responsabil_achizitie].[Responsabil achizitie].&amp;[HORIA Alina]"),0)</f>
        <v>0</v>
      </c>
      <c r="H9" s="40">
        <f>IFERROR(GETPIVOTDATA("[Measures].[Count of Tip procedura 3]",Pivot_Leveling!$A$3,"[Tipul_Procedurii].[Procedura]","[Tipul_Procedurii].[Procedura].&amp;[Procedura proprie]","[Responsabil_achizitie].[Responsabil achizitie]","[Responsabil_achizitie].[Responsabil achizitie].&amp;[HORIA Alina]"),0)</f>
        <v>0</v>
      </c>
      <c r="I9" s="40">
        <f>IFERROR(GETPIVOTDATA("[Measures].[Count of Tip procedura 2]",Pivot_Leveling!$A$3,"[Tipul_Procedurii].[Procedura]","[Tipul_Procedurii].[Procedura].&amp;[Procedura simplificata]","[Responsabil_achizitie].[Responsabil achizitie]","[Responsabil_achizitie].[Responsabil achizitie].&amp;[HORIA Alina]"),0)</f>
        <v>0</v>
      </c>
      <c r="J9" s="40">
        <f>IFERROR(GETPIVOTDATA("[Measures].[Count of Tip procedura 3]",Pivot_Leveling!$A$3,"[Tipul_Procedurii].[Procedura]","[Tipul_Procedurii].[Procedura].&amp;[Procedura simplificata]","[Responsabil_achizitie].[Responsabil achizitie]","[Responsabil_achizitie].[Responsabil achizitie].&amp;[HORIA Alina]"),0)</f>
        <v>0</v>
      </c>
      <c r="K9" s="40">
        <f>IFERROR(GETPIVOTDATA("[Measures].[Count of Tip procedura 2]",Pivot_Leveling!$A$3,"[Tipul_Procedurii].[Procedura]","[Tipul_Procedurii].[Procedura].&amp;[Licitatie deschisa]","[Responsabil_achizitie].[Responsabil achizitie]","[Responsabil_achizitie].[Responsabil achizitie].&amp;[HORIA Alina]"),0)</f>
        <v>1</v>
      </c>
      <c r="L9" s="40">
        <f>IFERROR(GETPIVOTDATA("[Measures].[Count of Tip procedura 3]",Pivot_Leveling!$A$3,"[Tipul_Procedurii].[Procedura]","[Tipul_Procedurii].[Procedura].&amp;[Licitatie deschisa]","[Responsabil_achizitie].[Responsabil achizitie]","[Responsabil_achizitie].[Responsabil achizitie].&amp;[HORIA Alina]"),0)</f>
        <v>0</v>
      </c>
      <c r="M9" s="38">
        <f t="shared" si="0"/>
        <v>1</v>
      </c>
    </row>
    <row r="10" spans="1:13" x14ac:dyDescent="0.25">
      <c r="A10" s="35" t="s">
        <v>59</v>
      </c>
      <c r="B10" s="40">
        <f>IFERROR(GETPIVOTDATA("[Measures].[Count of Tip AD]",Pivot_Leveling!$A$3,"[Tipul_Procedurii].[Procedura]","[Tipul_Procedurii].[Procedura].&amp;[AD complexa]","[Responsabil_achizitie].[Responsabil achizitie]","[Responsabil_achizitie].[Responsabil achizitie].&amp;[NEGREA Andrei]"),0)</f>
        <v>0</v>
      </c>
      <c r="C10" s="40">
        <f>IFERROR(GETPIVOTDATA("[Measures].[Count of Tip procedura 3]",Pivot_Leveling!$A$3,"[Tipul_Procedurii].[Procedura]","[Tipul_Procedurii].[Procedura].&amp;[AD complexa]","[Responsabil_achizitie].[Responsabil achizitie]","[Responsabil_achizitie].[Responsabil achizitie].&amp;[NEGREA Andrei]"),0)</f>
        <v>0</v>
      </c>
      <c r="D10" s="40">
        <f>IFERROR(GETPIVOTDATA("[Measures].[Count of Tip AD]",Pivot_Leveling!$A$3,"[Tipul_Procedurii].[Procedura]","[Tipul_Procedurii].[Procedura].&amp;[AD simpla]","[Responsabil_achizitie].[Responsabil achizitie]","[Responsabil_achizitie].[Responsabil achizitie].&amp;[NEGREA Andrei]"),0)</f>
        <v>0</v>
      </c>
      <c r="E10" s="40">
        <f>IFERROR(GETPIVOTDATA("[Measures].[Count of Tip procedura 3]",Pivot_Leveling!$A$3,"[Tipul_Procedurii].[Procedura]","[Tipul_Procedurii].[Procedura].&amp;[AD simpla]","[Responsabil_achizitie].[Responsabil achizitie]","[Responsabil_achizitie].[Responsabil achizitie].&amp;[NEGREA Andrei]"),0)</f>
        <v>0</v>
      </c>
      <c r="F10" s="40">
        <f>IFERROR(GETPIVOTDATA("[Measures].[Count of Tip procedura]",Pivot_Leveling!$A$3,"[Tipul_Procedurii].[Procedura]","[Tipul_Procedurii].[Procedura].&amp;[Exceptie art. 29 L98/2016]","[Responsabil_achizitie].[Responsabil achizitie]","[Responsabil_achizitie].[Responsabil achizitie].&amp;[NEGREA Andrei]"),0)</f>
        <v>0</v>
      </c>
      <c r="G10" s="40">
        <f>IFERROR(GETPIVOTDATA("[Measures].[Count of Tip procedura]",Pivot_Leveling!$A$3,"[Tipul_Procedurii].[Procedura]","[Tipul_Procedurii].[Procedura].&amp;[Procedura proprie]","[Responsabil_achizitie].[Responsabil achizitie]","[Responsabil_achizitie].[Responsabil achizitie].&amp;[NEGREA Andrei]"),0)</f>
        <v>0</v>
      </c>
      <c r="H10" s="40">
        <f>IFERROR(GETPIVOTDATA("[Measures].[Count of Tip procedura 3]",Pivot_Leveling!$A$3,"[Tipul_Procedurii].[Procedura]","[Tipul_Procedurii].[Procedura].&amp;[Procedura proprie]","[Responsabil_achizitie].[Responsabil achizitie]","[Responsabil_achizitie].[Responsabil achizitie].&amp;[NEGREA Andrei]"),0)</f>
        <v>0</v>
      </c>
      <c r="I10" s="40">
        <f>IFERROR(GETPIVOTDATA("[Measures].[Count of Tip procedura 2]",Pivot_Leveling!$A$3,"[Tipul_Procedurii].[Procedura]","[Tipul_Procedurii].[Procedura].&amp;[Procedura simplificata]","[Responsabil_achizitie].[Responsabil achizitie]","[Responsabil_achizitie].[Responsabil achizitie].&amp;[NEGREA Andrei]"),0)</f>
        <v>0</v>
      </c>
      <c r="J10" s="40">
        <f>IFERROR(GETPIVOTDATA("[Measures].[Count of Tip procedura 3]",Pivot_Leveling!$A$3,"[Tipul_Procedurii].[Procedura]","[Tipul_Procedurii].[Procedura].&amp;[Procedura simplificata]","[Responsabil_achizitie].[Responsabil achizitie]","[Responsabil_achizitie].[Responsabil achizitie].&amp;[NEGREA Andrei]"),0)</f>
        <v>0</v>
      </c>
      <c r="K10" s="40">
        <f>IFERROR(GETPIVOTDATA("[Measures].[Count of Tip procedura 2]",Pivot_Leveling!$A$3,"[Tipul_Procedurii].[Procedura]","[Tipul_Procedurii].[Procedura].&amp;[Licitatie deschisa]","[Responsabil_achizitie].[Responsabil achizitie]","[Responsabil_achizitie].[Responsabil achizitie].&amp;[NEGREA Andrei]"),0)</f>
        <v>1</v>
      </c>
      <c r="L10" s="40">
        <f>IFERROR(GETPIVOTDATA("[Measures].[Count of Tip procedura 3]",Pivot_Leveling!$A$3,"[Tipul_Procedurii].[Procedura]","[Tipul_Procedurii].[Procedura].&amp;[Licitatie deschisa]","[Responsabil_achizitie].[Responsabil achizitie]","[Responsabil_achizitie].[Responsabil achizitie].&amp;[NEGREA Andrei]"),0)</f>
        <v>0</v>
      </c>
      <c r="M10" s="38">
        <f t="shared" si="0"/>
        <v>1</v>
      </c>
    </row>
    <row r="11" spans="1:13" x14ac:dyDescent="0.25">
      <c r="A11" s="35" t="s">
        <v>72</v>
      </c>
      <c r="B11" s="40">
        <f>IFERROR(GETPIVOTDATA("[Measures].[Count of Tip AD]",Pivot_Leveling!$A$3,"[Tipul_Procedurii].[Procedura]","[Tipul_Procedurii].[Procedura].&amp;[AD complexa]","[Responsabil_achizitie].[Responsabil achizitie]","[Responsabil_achizitie].[Responsabil achizitie].&amp;[OANĂ Elena]"),0)</f>
        <v>0</v>
      </c>
      <c r="C11" s="40">
        <f>IFERROR(GETPIVOTDATA("[Measures].[Count of Tip procedura 3]",Pivot_Leveling!$A$3,"[Tipul_Procedurii].[Procedura]","[Tipul_Procedurii].[Procedura].&amp;[AD complexa]","[Responsabil_achizitie].[Responsabil achizitie]","[Responsabil_achizitie].[Responsabil achizitie].&amp;[OANĂ Elena]"),0)</f>
        <v>0</v>
      </c>
      <c r="D11" s="40">
        <f>IFERROR(GETPIVOTDATA("[Measures].[Count of Tip AD]",Pivot_Leveling!$A$3,"[Tipul_Procedurii].[Procedura]","[Tipul_Procedurii].[Procedura].&amp;[AD simpla]","[Responsabil_achizitie].[Responsabil achizitie]","[Responsabil_achizitie].[Responsabil achizitie].&amp;[OANĂ Elena]"),0)</f>
        <v>0</v>
      </c>
      <c r="E11" s="40">
        <f>IFERROR(GETPIVOTDATA("[Measures].[Count of Tip procedura 3]",Pivot_Leveling!$A$3,"[Tipul_Procedurii].[Procedura]","[Tipul_Procedurii].[Procedura].&amp;[AD simpla]","[Responsabil_achizitie].[Responsabil achizitie]","[Responsabil_achizitie].[Responsabil achizitie].&amp;[OANĂ Elena]"),0)</f>
        <v>0</v>
      </c>
      <c r="F11" s="40">
        <f>IFERROR(GETPIVOTDATA("[Measures].[Count of Tip procedura]",Pivot_Leveling!$A$3,"[Tipul_Procedurii].[Procedura]","[Tipul_Procedurii].[Procedura].&amp;[Exceptie art. 29 L98/2016]","[Responsabil_achizitie].[Responsabil achizitie]","[Responsabil_achizitie].[Responsabil achizitie].&amp;[OANĂ Elena]"),0)</f>
        <v>0</v>
      </c>
      <c r="G11" s="40">
        <f>IFERROR(GETPIVOTDATA("[Measures].[Count of Tip procedura]",Pivot_Leveling!$A$3,"[Tipul_Procedurii].[Procedura]","[Tipul_Procedurii].[Procedura].&amp;[Procedura proprie]","[Responsabil_achizitie].[Responsabil achizitie]","[Responsabil_achizitie].[Responsabil achizitie].&amp;[OANĂ Elena]"),0)</f>
        <v>0</v>
      </c>
      <c r="H11" s="40">
        <f>IFERROR(GETPIVOTDATA("[Measures].[Count of Tip procedura 3]",Pivot_Leveling!$A$3,"[Tipul_Procedurii].[Procedura]","[Tipul_Procedurii].[Procedura].&amp;[Procedura proprie]","[Responsabil_achizitie].[Responsabil achizitie]","[Responsabil_achizitie].[Responsabil achizitie].&amp;[OANĂ Elena]"),0)</f>
        <v>0</v>
      </c>
      <c r="I11" s="40">
        <f>IFERROR(GETPIVOTDATA("[Measures].[Count of Tip procedura 2]",Pivot_Leveling!$A$3,"[Tipul_Procedurii].[Procedura]","[Tipul_Procedurii].[Procedura].&amp;[Procedura simplificata]","[Responsabil_achizitie].[Responsabil achizitie]","[Responsabil_achizitie].[Responsabil achizitie].&amp;[OANĂ Elena]"),0)</f>
        <v>0</v>
      </c>
      <c r="J11" s="40">
        <f>IFERROR(GETPIVOTDATA("[Measures].[Count of Tip procedura 3]",Pivot_Leveling!$A$3,"[Tipul_Procedurii].[Procedura]","[Tipul_Procedurii].[Procedura].&amp;[Procedura simplificata]","[Responsabil_achizitie].[Responsabil achizitie]","[Responsabil_achizitie].[Responsabil achizitie].&amp;[OANĂ Elena]"),0)</f>
        <v>0</v>
      </c>
      <c r="K11" s="40">
        <f>IFERROR(GETPIVOTDATA("[Measures].[Count of Tip procedura 2]",Pivot_Leveling!$A$3,"[Tipul_Procedurii].[Procedura]","[Tipul_Procedurii].[Procedura].&amp;[Licitatie deschisa]","[Responsabil_achizitie].[Responsabil achizitie]","[Responsabil_achizitie].[Responsabil achizitie].&amp;[OANĂ Elena]"),0)</f>
        <v>0</v>
      </c>
      <c r="L11" s="40">
        <f>IFERROR(GETPIVOTDATA("[Measures].[Count of Tip procedura 3]",Pivot_Leveling!$A$3,"[Tipul_Procedurii].[Procedura]","[Tipul_Procedurii].[Procedura].&amp;[Licitatie deschisa]","[Responsabil_achizitie].[Responsabil achizitie]","[Responsabil_achizitie].[Responsabil achizitie].&amp;[OANĂ Elena]"),0)</f>
        <v>0</v>
      </c>
      <c r="M11" s="38">
        <f t="shared" si="0"/>
        <v>0</v>
      </c>
    </row>
    <row r="12" spans="1:13" x14ac:dyDescent="0.25">
      <c r="A12" s="35" t="s">
        <v>78</v>
      </c>
      <c r="B12" s="40">
        <f>IFERROR(GETPIVOTDATA("[Measures].[Count of Tip AD]",Pivot_Leveling!$A$3,"[Tipul_Procedurii].[Procedura]","[Tipul_Procedurii].[Procedura].&amp;[AD complexa]","[Responsabil_achizitie].[Responsabil achizitie]","[Responsabil_achizitie].[Responsabil achizitie].&amp;[OLTEANU Felicia]"),0)</f>
        <v>0</v>
      </c>
      <c r="C12" s="40">
        <f>IFERROR(GETPIVOTDATA("[Measures].[Count of Tip procedura 3]",Pivot_Leveling!$A$3,"[Tipul_Procedurii].[Procedura]","[Tipul_Procedurii].[Procedura].&amp;[AD complexa]","[Responsabil_achizitie].[Responsabil achizitie]","[Responsabil_achizitie].[Responsabil achizitie].&amp;[OLTEANU Felicia]"),0)</f>
        <v>0</v>
      </c>
      <c r="D12" s="40">
        <f>IFERROR(GETPIVOTDATA("[Measures].[Count of Tip AD]",Pivot_Leveling!$A$3,"[Tipul_Procedurii].[Procedura]","[Tipul_Procedurii].[Procedura].&amp;[AD simpla]","[Responsabil_achizitie].[Responsabil achizitie]","[Responsabil_achizitie].[Responsabil achizitie].&amp;[OLTEANU Felicia]"),0)</f>
        <v>0</v>
      </c>
      <c r="E12" s="40">
        <f>IFERROR(GETPIVOTDATA("[Measures].[Count of Tip procedura 3]",Pivot_Leveling!$A$3,"[Tipul_Procedurii].[Procedura]","[Tipul_Procedurii].[Procedura].&amp;[AD simpla]","[Responsabil_achizitie].[Responsabil achizitie]","[Responsabil_achizitie].[Responsabil achizitie].&amp;[OLTEANU Felicia]"),0)</f>
        <v>0</v>
      </c>
      <c r="F12" s="40">
        <f>IFERROR(GETPIVOTDATA("[Measures].[Count of Tip procedura]",Pivot_Leveling!$A$3,"[Tipul_Procedurii].[Procedura]","[Tipul_Procedurii].[Procedura].&amp;[Exceptie art. 29 L98/2016]","[Responsabil_achizitie].[Responsabil achizitie]","[Responsabil_achizitie].[Responsabil achizitie].&amp;[OLTEANU Felicia]"),0)</f>
        <v>0</v>
      </c>
      <c r="G12" s="40">
        <f>IFERROR(GETPIVOTDATA("[Measures].[Count of Tip procedura]",Pivot_Leveling!$A$3,"[Tipul_Procedurii].[Procedura]","[Tipul_Procedurii].[Procedura].&amp;[Procedura proprie]","[Responsabil_achizitie].[Responsabil achizitie]","[Responsabil_achizitie].[Responsabil achizitie].&amp;[OLTEANU Felicia]"),0)</f>
        <v>0</v>
      </c>
      <c r="H12" s="40">
        <f>IFERROR(GETPIVOTDATA("[Measures].[Count of Tip procedura 3]",Pivot_Leveling!$A$3,"[Tipul_Procedurii].[Procedura]","[Tipul_Procedurii].[Procedura].&amp;[Procedura proprie]","[Responsabil_achizitie].[Responsabil achizitie]","[Responsabil_achizitie].[Responsabil achizitie].&amp;[OLTEANU Felicia]"),0)</f>
        <v>0</v>
      </c>
      <c r="I12" s="40">
        <f>IFERROR(GETPIVOTDATA("[Measures].[Count of Tip procedura 2]",Pivot_Leveling!$A$3,"[Tipul_Procedurii].[Procedura]","[Tipul_Procedurii].[Procedura].&amp;[Procedura simplificata]","[Responsabil_achizitie].[Responsabil achizitie]","[Responsabil_achizitie].[Responsabil achizitie].&amp;[OLTEANU Felicia]"),0)</f>
        <v>0</v>
      </c>
      <c r="J12" s="40">
        <f>IFERROR(GETPIVOTDATA("[Measures].[Count of Tip procedura 3]",Pivot_Leveling!$A$3,"[Tipul_Procedurii].[Procedura]","[Tipul_Procedurii].[Procedura].&amp;[Procedura simplificata]","[Responsabil_achizitie].[Responsabil achizitie]","[Responsabil_achizitie].[Responsabil achizitie].&amp;[OLTEANU Felicia]"),0)</f>
        <v>0</v>
      </c>
      <c r="K12" s="40">
        <f>IFERROR(GETPIVOTDATA("[Measures].[Count of Tip procedura 2]",Pivot_Leveling!$A$3,"[Tipul_Procedurii].[Procedura]","[Tipul_Procedurii].[Procedura].&amp;[Licitatie deschisa]","[Responsabil_achizitie].[Responsabil achizitie]","[Responsabil_achizitie].[Responsabil achizitie].&amp;[OLTEANU Felicia]"),0)</f>
        <v>0</v>
      </c>
      <c r="L12" s="40">
        <f>IFERROR(GETPIVOTDATA("[Measures].[Count of Tip procedura 3]",Pivot_Leveling!$A$3,"[Tipul_Procedurii].[Procedura]","[Tipul_Procedurii].[Procedura].&amp;[Licitatie deschisa]","[Responsabil_achizitie].[Responsabil achizitie]","[Responsabil_achizitie].[Responsabil achizitie].&amp;[OLTEANU Felicia]"),0)</f>
        <v>0</v>
      </c>
      <c r="M12" s="38">
        <f t="shared" si="0"/>
        <v>0</v>
      </c>
    </row>
    <row r="13" spans="1:13" x14ac:dyDescent="0.25">
      <c r="A13" s="35" t="s">
        <v>35</v>
      </c>
      <c r="B13" s="40">
        <f>IFERROR(GETPIVOTDATA("[Measures].[Count of Tip AD]",Pivot_Leveling!$A$3,"[Tipul_Procedurii].[Procedura]","[Tipul_Procedurii].[Procedura].&amp;[AD complexa]","[Responsabil_achizitie].[Responsabil achizitie]","[Responsabil_achizitie].[Responsabil achizitie].&amp;[SAMOILA Maria]"),0)</f>
        <v>0</v>
      </c>
      <c r="C13" s="40">
        <f>IFERROR(GETPIVOTDATA("[Measures].[Count of Tip procedura 3]",Pivot_Leveling!$A$3,"[Tipul_Procedurii].[Procedura]","[Tipul_Procedurii].[Procedura].&amp;[AD complexa]","[Responsabil_achizitie].[Responsabil achizitie]","[Responsabil_achizitie].[Responsabil achizitie].&amp;[SAMOILA Maria]"),0)</f>
        <v>0</v>
      </c>
      <c r="D13" s="40">
        <f>IFERROR(GETPIVOTDATA("[Measures].[Count of Tip AD]",Pivot_Leveling!$A$3,"[Tipul_Procedurii].[Procedura]","[Tipul_Procedurii].[Procedura].&amp;[AD simpla]","[Responsabil_achizitie].[Responsabil achizitie]","[Responsabil_achizitie].[Responsabil achizitie].&amp;[SAMOILA Maria]"),0)</f>
        <v>0</v>
      </c>
      <c r="E13" s="40">
        <f>IFERROR(GETPIVOTDATA("[Measures].[Count of Tip procedura 3]",Pivot_Leveling!$A$3,"[Tipul_Procedurii].[Procedura]","[Tipul_Procedurii].[Procedura].&amp;[AD simpla]","[Responsabil_achizitie].[Responsabil achizitie]","[Responsabil_achizitie].[Responsabil achizitie].&amp;[SAMOILA Maria]"),0)</f>
        <v>0</v>
      </c>
      <c r="F13" s="40">
        <f>IFERROR(GETPIVOTDATA("[Measures].[Count of Tip procedura]",Pivot_Leveling!$A$3,"[Tipul_Procedurii].[Procedura]","[Tipul_Procedurii].[Procedura].&amp;[Exceptie art. 29 L98/2016]","[Responsabil_achizitie].[Responsabil achizitie]","[Responsabil_achizitie].[Responsabil achizitie].&amp;[SAMOILA Maria]"),0)</f>
        <v>0</v>
      </c>
      <c r="G13" s="40">
        <f>IFERROR(GETPIVOTDATA("[Measures].[Count of Tip procedura]",Pivot_Leveling!$A$3,"[Tipul_Procedurii].[Procedura]","[Tipul_Procedurii].[Procedura].&amp;[Procedura proprie]","[Responsabil_achizitie].[Responsabil achizitie]","[Responsabil_achizitie].[Responsabil achizitie].&amp;[SAMOILA Maria]"),0)</f>
        <v>0</v>
      </c>
      <c r="H13" s="40">
        <f>IFERROR(GETPIVOTDATA("[Measures].[Count of Tip procedura 3]",Pivot_Leveling!$A$3,"[Tipul_Procedurii].[Procedura]","[Tipul_Procedurii].[Procedura].&amp;[Procedura proprie]","[Responsabil_achizitie].[Responsabil achizitie]","[Responsabil_achizitie].[Responsabil achizitie].&amp;[SAMOILA Maria]"),0)</f>
        <v>0</v>
      </c>
      <c r="I13" s="40">
        <f>IFERROR(GETPIVOTDATA("[Measures].[Count of Tip procedura 2]",Pivot_Leveling!$A$3,"[Tipul_Procedurii].[Procedura]","[Tipul_Procedurii].[Procedura].&amp;[Procedura simplificata]","[Responsabil_achizitie].[Responsabil achizitie]","[Responsabil_achizitie].[Responsabil achizitie].&amp;[SAMOILA Maria]"),0)</f>
        <v>0</v>
      </c>
      <c r="J13" s="40">
        <f>IFERROR(GETPIVOTDATA("[Measures].[Count of Tip procedura 3]",Pivot_Leveling!$A$3,"[Tipul_Procedurii].[Procedura]","[Tipul_Procedurii].[Procedura].&amp;[Procedura simplificata]","[Responsabil_achizitie].[Responsabil achizitie]","[Responsabil_achizitie].[Responsabil achizitie].&amp;[SAMOILA Maria]"),0)</f>
        <v>0</v>
      </c>
      <c r="K13" s="40">
        <f>IFERROR(GETPIVOTDATA("[Measures].[Count of Tip procedura 2]",Pivot_Leveling!$A$3,"[Tipul_Procedurii].[Procedura]","[Tipul_Procedurii].[Procedura].&amp;[Licitatie deschisa]","[Responsabil_achizitie].[Responsabil achizitie]","[Responsabil_achizitie].[Responsabil achizitie].&amp;[SAMOILA Maria]"),0)</f>
        <v>0</v>
      </c>
      <c r="L13" s="40">
        <f>IFERROR(GETPIVOTDATA("[Measures].[Count of Tip procedura 3]",Pivot_Leveling!$A$3,"[Tipul_Procedurii].[Procedura]","[Tipul_Procedurii].[Procedura].&amp;[Licitatie deschisa]","[Responsabil_achizitie].[Responsabil achizitie]","[Responsabil_achizitie].[Responsabil achizitie].&amp;[SAMOILA Maria]"),0)</f>
        <v>0</v>
      </c>
      <c r="M13" s="38">
        <f t="shared" si="0"/>
        <v>0</v>
      </c>
    </row>
    <row r="14" spans="1:13" x14ac:dyDescent="0.25">
      <c r="A14" s="35" t="s">
        <v>36</v>
      </c>
      <c r="B14" s="40">
        <f>IFERROR(GETPIVOTDATA("[Measures].[Count of Tip AD]",Pivot_Leveling!$A$3,"[Tipul_Procedurii].[Procedura]","[Tipul_Procedurii].[Procedura].&amp;[AD complexa]","[Responsabil_achizitie].[Responsabil achizitie]","[Responsabil_achizitie].[Responsabil achizitie].&amp;[TEODORESCU Margareta]"),0)</f>
        <v>2</v>
      </c>
      <c r="C14" s="40">
        <f>IFERROR(GETPIVOTDATA("[Measures].[Count of Tip procedura 3]",Pivot_Leveling!$A$3,"[Tipul_Procedurii].[Procedura]","[Tipul_Procedurii].[Procedura].&amp;[AD complexa]","[Responsabil_achizitie].[Responsabil achizitie]","[Responsabil_achizitie].[Responsabil achizitie].&amp;[TEODORESCU Margareta]"),0)</f>
        <v>0</v>
      </c>
      <c r="D14" s="40">
        <f>IFERROR(GETPIVOTDATA("[Measures].[Count of Tip AD]",Pivot_Leveling!$A$3,"[Tipul_Procedurii].[Procedura]","[Tipul_Procedurii].[Procedura].&amp;[AD simpla]","[Responsabil_achizitie].[Responsabil achizitie]","[Responsabil_achizitie].[Responsabil achizitie].&amp;[TEODORESCU Margareta]"),0)</f>
        <v>0</v>
      </c>
      <c r="E14" s="40">
        <f>IFERROR(GETPIVOTDATA("[Measures].[Count of Tip procedura 3]",Pivot_Leveling!$A$3,"[Tipul_Procedurii].[Procedura]","[Tipul_Procedurii].[Procedura].&amp;[AD simpla]","[Responsabil_achizitie].[Responsabil achizitie]","[Responsabil_achizitie].[Responsabil achizitie].&amp;[TEODORESCU Margareta]"),0)</f>
        <v>0</v>
      </c>
      <c r="F14" s="40">
        <f>IFERROR(GETPIVOTDATA("[Measures].[Count of Tip procedura]",Pivot_Leveling!$A$3,"[Tipul_Procedurii].[Procedura]","[Tipul_Procedurii].[Procedura].&amp;[Exceptie art. 29 L98/2016]","[Responsabil_achizitie].[Responsabil achizitie]","[Responsabil_achizitie].[Responsabil achizitie].&amp;[TEODORESCU Margareta]"),0)</f>
        <v>0</v>
      </c>
      <c r="G14" s="40">
        <f>IFERROR(GETPIVOTDATA("[Measures].[Count of Tip procedura]",Pivot_Leveling!$A$3,"[Tipul_Procedurii].[Procedura]","[Tipul_Procedurii].[Procedura].&amp;[Procedura proprie]","[Responsabil_achizitie].[Responsabil achizitie]","[Responsabil_achizitie].[Responsabil achizitie].&amp;[TEODORESCU Margareta]"),0)</f>
        <v>0</v>
      </c>
      <c r="H14" s="40">
        <f>IFERROR(GETPIVOTDATA("[Measures].[Count of Tip procedura 3]",Pivot_Leveling!$A$3,"[Tipul_Procedurii].[Procedura]","[Tipul_Procedurii].[Procedura].&amp;[Procedura proprie]","[Responsabil_achizitie].[Responsabil achizitie]","[Responsabil_achizitie].[Responsabil achizitie].&amp;[TEODORESCU Margareta]"),0)</f>
        <v>0</v>
      </c>
      <c r="I14" s="40">
        <f>IFERROR(GETPIVOTDATA("[Measures].[Count of Tip procedura 2]",Pivot_Leveling!$A$3,"[Tipul_Procedurii].[Procedura]","[Tipul_Procedurii].[Procedura].&amp;[Procedura simplificata]","[Responsabil_achizitie].[Responsabil achizitie]","[Responsabil_achizitie].[Responsabil achizitie].&amp;[TEODORESCU Margareta]"),0)</f>
        <v>0</v>
      </c>
      <c r="J14" s="40">
        <f>IFERROR(GETPIVOTDATA("[Measures].[Count of Tip procedura 3]",Pivot_Leveling!$A$3,"[Tipul_Procedurii].[Procedura]","[Tipul_Procedurii].[Procedura].&amp;[Procedura simplificata]","[Responsabil_achizitie].[Responsabil achizitie]","[Responsabil_achizitie].[Responsabil achizitie].&amp;[TEODORESCU Margareta]"),0)</f>
        <v>0</v>
      </c>
      <c r="K14" s="40">
        <f>IFERROR(GETPIVOTDATA("[Measures].[Count of Tip procedura 2]",Pivot_Leveling!$A$3,"[Tipul_Procedurii].[Procedura]","[Tipul_Procedurii].[Procedura].&amp;[Licitatie deschisa]","[Responsabil_achizitie].[Responsabil achizitie]","[Responsabil_achizitie].[Responsabil achizitie].&amp;[TEODORESCU Margareta]"),0)</f>
        <v>0</v>
      </c>
      <c r="L14" s="40">
        <f>IFERROR(GETPIVOTDATA("[Measures].[Count of Tip procedura 3]",Pivot_Leveling!$A$3,"[Tipul_Procedurii].[Procedura]","[Tipul_Procedurii].[Procedura].&amp;[Licitatie deschisa]","[Responsabil_achizitie].[Responsabil achizitie]","[Responsabil_achizitie].[Responsabil achizitie].&amp;[TEODORESCU Margareta]"),0)</f>
        <v>0</v>
      </c>
      <c r="M14" s="38">
        <f t="shared" si="0"/>
        <v>2</v>
      </c>
    </row>
    <row r="15" spans="1:13" x14ac:dyDescent="0.25">
      <c r="A15" s="35" t="s">
        <v>30</v>
      </c>
      <c r="B15" s="40">
        <f>IFERROR(GETPIVOTDATA("[Measures].[Count of Tip AD]",Pivot_Leveling!$A$3,"[Tipul_Procedurii].[Procedura]","[Tipul_Procedurii].[Procedura].&amp;[AD complexa]","[Responsabil_achizitie].[Responsabil achizitie]","[Responsabil_achizitie].[Responsabil achizitie].&amp;[ZLOTEA Liliana]"),0)</f>
        <v>0</v>
      </c>
      <c r="C15" s="40">
        <f>IFERROR(GETPIVOTDATA("[Measures].[Count of Tip procedura 3]",Pivot_Leveling!$A$3,"[Tipul_Procedurii].[Procedura]","[Tipul_Procedurii].[Procedura].&amp;[AD complexa]","[Responsabil_achizitie].[Responsabil achizitie]","[Responsabil_achizitie].[Responsabil achizitie].&amp;[ZLOTEA Liliana]"),0)</f>
        <v>2</v>
      </c>
      <c r="D15" s="40">
        <f>IFERROR(GETPIVOTDATA("[Measures].[Count of Tip AD]",Pivot_Leveling!$A$3,"[Tipul_Procedurii].[Procedura]","[Tipul_Procedurii].[Procedura].&amp;[AD simpla]","[Responsabil_achizitie].[Responsabil achizitie]","[Responsabil_achizitie].[Responsabil achizitie].&amp;[ZLOTEA Liliana]"),0)</f>
        <v>0</v>
      </c>
      <c r="E15" s="40">
        <f>IFERROR(GETPIVOTDATA("[Measures].[Count of Tip procedura 3]",Pivot_Leveling!$A$3,"[Tipul_Procedurii].[Procedura]","[Tipul_Procedurii].[Procedura].&amp;[AD simpla]","[Responsabil_achizitie].[Responsabil achizitie]","[Responsabil_achizitie].[Responsabil achizitie].&amp;[ZLOTEA Liliana]"),0)</f>
        <v>3</v>
      </c>
      <c r="F15" s="40">
        <f>IFERROR(GETPIVOTDATA("[Measures].[Count of Tip procedura]",Pivot_Leveling!$A$3,"[Tipul_Procedurii].[Procedura]","[Tipul_Procedurii].[Procedura].&amp;[Exceptie art. 29 L98/2016]","[Responsabil_achizitie].[Responsabil achizitie]","[Responsabil_achizitie].[Responsabil achizitie].&amp;[ZLOTEA Liliana]"),0)</f>
        <v>0</v>
      </c>
      <c r="G15" s="40">
        <f>IFERROR(GETPIVOTDATA("[Measures].[Count of Tip procedura]",Pivot_Leveling!$A$3,"[Tipul_Procedurii].[Procedura]","[Tipul_Procedurii].[Procedura].&amp;[Procedura proprie]","[Responsabil_achizitie].[Responsabil achizitie]","[Responsabil_achizitie].[Responsabil achizitie].&amp;[ZLOTEA Liliana]"),0)</f>
        <v>0</v>
      </c>
      <c r="H15" s="40">
        <f>IFERROR(GETPIVOTDATA("[Measures].[Count of Tip procedura 3]",Pivot_Leveling!$A$3,"[Tipul_Procedurii].[Procedura]","[Tipul_Procedurii].[Procedura].&amp;[Procedura proprie]","[Responsabil_achizitie].[Responsabil achizitie]","[Responsabil_achizitie].[Responsabil achizitie].&amp;[ZLOTEA Liliana]"),0)</f>
        <v>2</v>
      </c>
      <c r="I15" s="40">
        <f>IFERROR(GETPIVOTDATA("[Measures].[Count of Tip procedura 2]",Pivot_Leveling!$A$3,"[Tipul_Procedurii].[Procedura]","[Tipul_Procedurii].[Procedura].&amp;[Procedura simplificata]","[Responsabil_achizitie].[Responsabil achizitie]","[Responsabil_achizitie].[Responsabil achizitie].&amp;[ZLOTEA Liliana]"),0)</f>
        <v>1</v>
      </c>
      <c r="J15" s="40">
        <f>IFERROR(GETPIVOTDATA("[Measures].[Count of Tip procedura 3]",Pivot_Leveling!$A$3,"[Tipul_Procedurii].[Procedura]","[Tipul_Procedurii].[Procedura].&amp;[Procedura simplificata]","[Responsabil_achizitie].[Responsabil achizitie]","[Responsabil_achizitie].[Responsabil achizitie].&amp;[ZLOTEA Liliana]"),0)</f>
        <v>2</v>
      </c>
      <c r="K15" s="40">
        <f>IFERROR(GETPIVOTDATA("[Measures].[Count of Tip procedura 2]",Pivot_Leveling!$A$3,"[Tipul_Procedurii].[Procedura]","[Tipul_Procedurii].[Procedura].&amp;[Licitatie deschisa]","[Responsabil_achizitie].[Responsabil achizitie]","[Responsabil_achizitie].[Responsabil achizitie].&amp;[ZLOTEA Liliana]"),0)</f>
        <v>0</v>
      </c>
      <c r="L15" s="40">
        <f>IFERROR(GETPIVOTDATA("[Measures].[Count of Tip procedura 3]",Pivot_Leveling!$A$3,"[Tipul_Procedurii].[Procedura]","[Tipul_Procedurii].[Procedura].&amp;[Licitatie deschisa]","[Responsabil_achizitie].[Responsabil achizitie]","[Responsabil_achizitie].[Responsabil achizitie].&amp;[ZLOTEA Liliana]"),0)</f>
        <v>0</v>
      </c>
      <c r="M15" s="38">
        <f t="shared" si="0"/>
        <v>10</v>
      </c>
    </row>
    <row r="16" spans="1:13" x14ac:dyDescent="0.25">
      <c r="A16" s="36" t="s">
        <v>89</v>
      </c>
      <c r="B16" s="34">
        <f t="shared" ref="B16:L16" si="1">SUBTOTAL(9,B3:B15)</f>
        <v>11</v>
      </c>
      <c r="C16" s="34">
        <f t="shared" si="1"/>
        <v>6</v>
      </c>
      <c r="D16" s="34">
        <f t="shared" si="1"/>
        <v>0</v>
      </c>
      <c r="E16" s="34">
        <f t="shared" si="1"/>
        <v>3</v>
      </c>
      <c r="F16" s="34">
        <f t="shared" si="1"/>
        <v>0</v>
      </c>
      <c r="G16" s="34">
        <f t="shared" si="1"/>
        <v>0</v>
      </c>
      <c r="H16" s="34">
        <f t="shared" si="1"/>
        <v>3</v>
      </c>
      <c r="I16" s="34">
        <f t="shared" si="1"/>
        <v>2</v>
      </c>
      <c r="J16" s="34">
        <f t="shared" si="1"/>
        <v>5</v>
      </c>
      <c r="K16" s="34">
        <f t="shared" si="1"/>
        <v>3</v>
      </c>
      <c r="L16" s="34">
        <f t="shared" si="1"/>
        <v>0</v>
      </c>
      <c r="M16" s="34">
        <f>SUM(M3:M15)</f>
        <v>33</v>
      </c>
    </row>
    <row r="18" spans="1:13" ht="3" customHeight="1" x14ac:dyDescent="0.25"/>
    <row r="19" spans="1:13" ht="22.5" customHeight="1" x14ac:dyDescent="0.25">
      <c r="A19" s="26"/>
      <c r="B19" s="37">
        <v>8</v>
      </c>
      <c r="C19" s="37">
        <v>8</v>
      </c>
      <c r="D19" s="37">
        <v>3</v>
      </c>
      <c r="E19" s="37">
        <v>3</v>
      </c>
      <c r="F19" s="37">
        <v>13</v>
      </c>
      <c r="G19" s="37">
        <v>13</v>
      </c>
      <c r="H19" s="37">
        <v>13</v>
      </c>
      <c r="I19" s="37">
        <v>25</v>
      </c>
      <c r="J19" s="37">
        <v>25</v>
      </c>
      <c r="K19" s="37">
        <v>35</v>
      </c>
      <c r="L19" s="37">
        <v>35</v>
      </c>
      <c r="M19" s="37">
        <f>(22*11*14)+185</f>
        <v>3573</v>
      </c>
    </row>
    <row r="20" spans="1:13" ht="39" customHeight="1" x14ac:dyDescent="0.25">
      <c r="A20" s="41" t="s">
        <v>91</v>
      </c>
      <c r="B20" s="39" t="s">
        <v>88</v>
      </c>
      <c r="C20" s="39" t="s">
        <v>180</v>
      </c>
      <c r="D20" s="39" t="s">
        <v>79</v>
      </c>
      <c r="E20" s="39" t="s">
        <v>181</v>
      </c>
      <c r="F20" s="39" t="s">
        <v>182</v>
      </c>
      <c r="G20" s="39" t="s">
        <v>43</v>
      </c>
      <c r="H20" s="39" t="s">
        <v>183</v>
      </c>
      <c r="I20" s="39" t="s">
        <v>81</v>
      </c>
      <c r="J20" s="39" t="s">
        <v>184</v>
      </c>
      <c r="K20" s="39" t="s">
        <v>13</v>
      </c>
      <c r="L20" s="39" t="s">
        <v>185</v>
      </c>
      <c r="M20" s="39" t="s">
        <v>92</v>
      </c>
    </row>
    <row r="21" spans="1:13" x14ac:dyDescent="0.25">
      <c r="A21" s="26" t="s">
        <v>60</v>
      </c>
      <c r="B21" s="33">
        <f t="shared" ref="B21:L21" si="2">B3*B$19</f>
        <v>16</v>
      </c>
      <c r="C21" s="33">
        <f t="shared" si="2"/>
        <v>0</v>
      </c>
      <c r="D21" s="33">
        <f t="shared" si="2"/>
        <v>0</v>
      </c>
      <c r="E21" s="33">
        <f t="shared" si="2"/>
        <v>0</v>
      </c>
      <c r="F21" s="33">
        <f t="shared" si="2"/>
        <v>0</v>
      </c>
      <c r="G21" s="33">
        <f t="shared" si="2"/>
        <v>0</v>
      </c>
      <c r="H21" s="33">
        <f t="shared" si="2"/>
        <v>0</v>
      </c>
      <c r="I21" s="33">
        <f t="shared" si="2"/>
        <v>0</v>
      </c>
      <c r="J21" s="33">
        <f t="shared" si="2"/>
        <v>0</v>
      </c>
      <c r="K21" s="33">
        <f t="shared" si="2"/>
        <v>0</v>
      </c>
      <c r="L21" s="33">
        <f t="shared" si="2"/>
        <v>0</v>
      </c>
      <c r="M21" s="38">
        <f>SUBTOTAL(9,B21:L21)</f>
        <v>16</v>
      </c>
    </row>
    <row r="22" spans="1:13" x14ac:dyDescent="0.25">
      <c r="A22" s="26" t="s">
        <v>14</v>
      </c>
      <c r="B22" s="33">
        <f t="shared" ref="B22:L22" si="3">B4*B$19</f>
        <v>0</v>
      </c>
      <c r="C22" s="33">
        <f t="shared" si="3"/>
        <v>16</v>
      </c>
      <c r="D22" s="33">
        <f t="shared" si="3"/>
        <v>0</v>
      </c>
      <c r="E22" s="33">
        <f t="shared" si="3"/>
        <v>0</v>
      </c>
      <c r="F22" s="33">
        <f t="shared" si="3"/>
        <v>0</v>
      </c>
      <c r="G22" s="33">
        <f t="shared" si="3"/>
        <v>0</v>
      </c>
      <c r="H22" s="33">
        <f t="shared" si="3"/>
        <v>0</v>
      </c>
      <c r="I22" s="33">
        <f t="shared" si="3"/>
        <v>0</v>
      </c>
      <c r="J22" s="33">
        <f t="shared" si="3"/>
        <v>25</v>
      </c>
      <c r="K22" s="33">
        <f t="shared" si="3"/>
        <v>0</v>
      </c>
      <c r="L22" s="33">
        <f t="shared" si="3"/>
        <v>0</v>
      </c>
      <c r="M22" s="38">
        <f t="shared" ref="M22:M33" si="4">SUBTOTAL(9,B22:L22)</f>
        <v>41</v>
      </c>
    </row>
    <row r="23" spans="1:13" x14ac:dyDescent="0.25">
      <c r="A23" s="26" t="s">
        <v>65</v>
      </c>
      <c r="B23" s="33">
        <f t="shared" ref="B23:L23" si="5">B5*B$19</f>
        <v>32</v>
      </c>
      <c r="C23" s="33">
        <f t="shared" si="5"/>
        <v>0</v>
      </c>
      <c r="D23" s="33">
        <f t="shared" si="5"/>
        <v>0</v>
      </c>
      <c r="E23" s="33">
        <f t="shared" si="5"/>
        <v>0</v>
      </c>
      <c r="F23" s="33">
        <f t="shared" si="5"/>
        <v>0</v>
      </c>
      <c r="G23" s="33">
        <f t="shared" si="5"/>
        <v>0</v>
      </c>
      <c r="H23" s="33">
        <f t="shared" si="5"/>
        <v>0</v>
      </c>
      <c r="I23" s="33">
        <f t="shared" si="5"/>
        <v>25</v>
      </c>
      <c r="J23" s="33">
        <f t="shared" si="5"/>
        <v>0</v>
      </c>
      <c r="K23" s="33">
        <f t="shared" si="5"/>
        <v>0</v>
      </c>
      <c r="L23" s="33">
        <f t="shared" si="5"/>
        <v>0</v>
      </c>
      <c r="M23" s="38">
        <f t="shared" si="4"/>
        <v>57</v>
      </c>
    </row>
    <row r="24" spans="1:13" x14ac:dyDescent="0.25">
      <c r="A24" s="26" t="s">
        <v>24</v>
      </c>
      <c r="B24" s="33">
        <f t="shared" ref="B24:L24" si="6">B6*B$19</f>
        <v>0</v>
      </c>
      <c r="C24" s="33">
        <f t="shared" si="6"/>
        <v>0</v>
      </c>
      <c r="D24" s="33">
        <f t="shared" si="6"/>
        <v>0</v>
      </c>
      <c r="E24" s="33">
        <f t="shared" si="6"/>
        <v>0</v>
      </c>
      <c r="F24" s="33">
        <f t="shared" si="6"/>
        <v>0</v>
      </c>
      <c r="G24" s="33">
        <f t="shared" si="6"/>
        <v>0</v>
      </c>
      <c r="H24" s="33">
        <f t="shared" si="6"/>
        <v>13</v>
      </c>
      <c r="I24" s="33">
        <f t="shared" si="6"/>
        <v>0</v>
      </c>
      <c r="J24" s="33">
        <f t="shared" si="6"/>
        <v>50</v>
      </c>
      <c r="K24" s="33">
        <f t="shared" si="6"/>
        <v>35</v>
      </c>
      <c r="L24" s="33">
        <f t="shared" si="6"/>
        <v>0</v>
      </c>
      <c r="M24" s="38">
        <f t="shared" si="4"/>
        <v>98</v>
      </c>
    </row>
    <row r="25" spans="1:13" x14ac:dyDescent="0.25">
      <c r="A25" s="26" t="s">
        <v>21</v>
      </c>
      <c r="B25" s="33">
        <f t="shared" ref="B25:L25" si="7">B7*B$19</f>
        <v>0</v>
      </c>
      <c r="C25" s="33">
        <f t="shared" si="7"/>
        <v>16</v>
      </c>
      <c r="D25" s="33">
        <f t="shared" si="7"/>
        <v>0</v>
      </c>
      <c r="E25" s="33">
        <f t="shared" si="7"/>
        <v>0</v>
      </c>
      <c r="F25" s="33">
        <f t="shared" si="7"/>
        <v>0</v>
      </c>
      <c r="G25" s="33">
        <f t="shared" si="7"/>
        <v>0</v>
      </c>
      <c r="H25" s="33">
        <f t="shared" si="7"/>
        <v>0</v>
      </c>
      <c r="I25" s="33">
        <f t="shared" si="7"/>
        <v>0</v>
      </c>
      <c r="J25" s="33">
        <f t="shared" si="7"/>
        <v>0</v>
      </c>
      <c r="K25" s="33">
        <f t="shared" si="7"/>
        <v>0</v>
      </c>
      <c r="L25" s="33">
        <f t="shared" si="7"/>
        <v>0</v>
      </c>
      <c r="M25" s="38">
        <f t="shared" si="4"/>
        <v>16</v>
      </c>
    </row>
    <row r="26" spans="1:13" x14ac:dyDescent="0.25">
      <c r="A26" s="26" t="s">
        <v>27</v>
      </c>
      <c r="B26" s="33">
        <f t="shared" ref="B26:L26" si="8">B8*B$19</f>
        <v>24</v>
      </c>
      <c r="C26" s="33">
        <f t="shared" si="8"/>
        <v>0</v>
      </c>
      <c r="D26" s="33">
        <f t="shared" si="8"/>
        <v>0</v>
      </c>
      <c r="E26" s="33">
        <f t="shared" si="8"/>
        <v>0</v>
      </c>
      <c r="F26" s="33">
        <f t="shared" si="8"/>
        <v>0</v>
      </c>
      <c r="G26" s="33">
        <f t="shared" si="8"/>
        <v>0</v>
      </c>
      <c r="H26" s="33">
        <f t="shared" si="8"/>
        <v>0</v>
      </c>
      <c r="I26" s="33">
        <f t="shared" si="8"/>
        <v>0</v>
      </c>
      <c r="J26" s="33">
        <f t="shared" si="8"/>
        <v>0</v>
      </c>
      <c r="K26" s="33">
        <f t="shared" si="8"/>
        <v>0</v>
      </c>
      <c r="L26" s="33">
        <f t="shared" si="8"/>
        <v>0</v>
      </c>
      <c r="M26" s="38">
        <f t="shared" si="4"/>
        <v>24</v>
      </c>
    </row>
    <row r="27" spans="1:13" x14ac:dyDescent="0.25">
      <c r="A27" s="26" t="s">
        <v>20</v>
      </c>
      <c r="B27" s="33">
        <f t="shared" ref="B27:L27" si="9">B9*B$19</f>
        <v>0</v>
      </c>
      <c r="C27" s="33">
        <f t="shared" si="9"/>
        <v>0</v>
      </c>
      <c r="D27" s="33">
        <f t="shared" si="9"/>
        <v>0</v>
      </c>
      <c r="E27" s="33">
        <f t="shared" si="9"/>
        <v>0</v>
      </c>
      <c r="F27" s="33">
        <f t="shared" si="9"/>
        <v>0</v>
      </c>
      <c r="G27" s="33">
        <f t="shared" si="9"/>
        <v>0</v>
      </c>
      <c r="H27" s="33">
        <f t="shared" si="9"/>
        <v>0</v>
      </c>
      <c r="I27" s="33">
        <f t="shared" si="9"/>
        <v>0</v>
      </c>
      <c r="J27" s="33">
        <f t="shared" si="9"/>
        <v>0</v>
      </c>
      <c r="K27" s="33">
        <f t="shared" si="9"/>
        <v>35</v>
      </c>
      <c r="L27" s="33">
        <f t="shared" si="9"/>
        <v>0</v>
      </c>
      <c r="M27" s="38">
        <f t="shared" si="4"/>
        <v>35</v>
      </c>
    </row>
    <row r="28" spans="1:13" x14ac:dyDescent="0.25">
      <c r="A28" s="26" t="s">
        <v>59</v>
      </c>
      <c r="B28" s="33">
        <f t="shared" ref="B28:L28" si="10">B10*B$19</f>
        <v>0</v>
      </c>
      <c r="C28" s="33">
        <f t="shared" si="10"/>
        <v>0</v>
      </c>
      <c r="D28" s="33">
        <f t="shared" si="10"/>
        <v>0</v>
      </c>
      <c r="E28" s="33">
        <f t="shared" si="10"/>
        <v>0</v>
      </c>
      <c r="F28" s="33">
        <f t="shared" si="10"/>
        <v>0</v>
      </c>
      <c r="G28" s="33">
        <f t="shared" si="10"/>
        <v>0</v>
      </c>
      <c r="H28" s="33">
        <f t="shared" si="10"/>
        <v>0</v>
      </c>
      <c r="I28" s="33">
        <f t="shared" si="10"/>
        <v>0</v>
      </c>
      <c r="J28" s="33">
        <f t="shared" si="10"/>
        <v>0</v>
      </c>
      <c r="K28" s="33">
        <f t="shared" si="10"/>
        <v>35</v>
      </c>
      <c r="L28" s="33">
        <f t="shared" si="10"/>
        <v>0</v>
      </c>
      <c r="M28" s="38">
        <f t="shared" si="4"/>
        <v>35</v>
      </c>
    </row>
    <row r="29" spans="1:13" x14ac:dyDescent="0.25">
      <c r="A29" s="26" t="s">
        <v>72</v>
      </c>
      <c r="B29" s="33">
        <f t="shared" ref="B29:L29" si="11">B11*B$19</f>
        <v>0</v>
      </c>
      <c r="C29" s="33">
        <f t="shared" si="11"/>
        <v>0</v>
      </c>
      <c r="D29" s="33">
        <f t="shared" si="11"/>
        <v>0</v>
      </c>
      <c r="E29" s="33">
        <f t="shared" si="11"/>
        <v>0</v>
      </c>
      <c r="F29" s="33">
        <f t="shared" si="11"/>
        <v>0</v>
      </c>
      <c r="G29" s="33">
        <f t="shared" si="11"/>
        <v>0</v>
      </c>
      <c r="H29" s="33">
        <f t="shared" si="11"/>
        <v>0</v>
      </c>
      <c r="I29" s="33">
        <f t="shared" si="11"/>
        <v>0</v>
      </c>
      <c r="J29" s="33">
        <f t="shared" si="11"/>
        <v>0</v>
      </c>
      <c r="K29" s="33">
        <f t="shared" si="11"/>
        <v>0</v>
      </c>
      <c r="L29" s="33">
        <f t="shared" si="11"/>
        <v>0</v>
      </c>
      <c r="M29" s="38">
        <f t="shared" si="4"/>
        <v>0</v>
      </c>
    </row>
    <row r="30" spans="1:13" x14ac:dyDescent="0.25">
      <c r="A30" s="26" t="s">
        <v>78</v>
      </c>
      <c r="B30" s="33">
        <f t="shared" ref="B30:L30" si="12">B12*B$19</f>
        <v>0</v>
      </c>
      <c r="C30" s="33">
        <f t="shared" si="12"/>
        <v>0</v>
      </c>
      <c r="D30" s="33">
        <f t="shared" si="12"/>
        <v>0</v>
      </c>
      <c r="E30" s="33">
        <f t="shared" si="12"/>
        <v>0</v>
      </c>
      <c r="F30" s="33">
        <f t="shared" si="12"/>
        <v>0</v>
      </c>
      <c r="G30" s="33">
        <f t="shared" si="12"/>
        <v>0</v>
      </c>
      <c r="H30" s="33">
        <f t="shared" si="12"/>
        <v>0</v>
      </c>
      <c r="I30" s="33">
        <f t="shared" si="12"/>
        <v>0</v>
      </c>
      <c r="J30" s="33">
        <f t="shared" si="12"/>
        <v>0</v>
      </c>
      <c r="K30" s="33">
        <f t="shared" si="12"/>
        <v>0</v>
      </c>
      <c r="L30" s="33">
        <f t="shared" si="12"/>
        <v>0</v>
      </c>
      <c r="M30" s="38">
        <f t="shared" si="4"/>
        <v>0</v>
      </c>
    </row>
    <row r="31" spans="1:13" x14ac:dyDescent="0.25">
      <c r="A31" s="26" t="s">
        <v>35</v>
      </c>
      <c r="B31" s="33">
        <f t="shared" ref="B31:L31" si="13">B13*B$19</f>
        <v>0</v>
      </c>
      <c r="C31" s="33">
        <f t="shared" si="13"/>
        <v>0</v>
      </c>
      <c r="D31" s="33">
        <f t="shared" si="13"/>
        <v>0</v>
      </c>
      <c r="E31" s="33">
        <f t="shared" si="13"/>
        <v>0</v>
      </c>
      <c r="F31" s="33">
        <f t="shared" si="13"/>
        <v>0</v>
      </c>
      <c r="G31" s="33">
        <f t="shared" si="13"/>
        <v>0</v>
      </c>
      <c r="H31" s="33">
        <f t="shared" si="13"/>
        <v>0</v>
      </c>
      <c r="I31" s="33">
        <f t="shared" si="13"/>
        <v>0</v>
      </c>
      <c r="J31" s="33">
        <f t="shared" si="13"/>
        <v>0</v>
      </c>
      <c r="K31" s="33">
        <f t="shared" si="13"/>
        <v>0</v>
      </c>
      <c r="L31" s="33">
        <f t="shared" si="13"/>
        <v>0</v>
      </c>
      <c r="M31" s="38">
        <f t="shared" si="4"/>
        <v>0</v>
      </c>
    </row>
    <row r="32" spans="1:13" x14ac:dyDescent="0.25">
      <c r="A32" s="26" t="s">
        <v>36</v>
      </c>
      <c r="B32" s="33">
        <f t="shared" ref="B32:L32" si="14">B14*B$19</f>
        <v>16</v>
      </c>
      <c r="C32" s="33">
        <f t="shared" si="14"/>
        <v>0</v>
      </c>
      <c r="D32" s="33">
        <f t="shared" si="14"/>
        <v>0</v>
      </c>
      <c r="E32" s="33">
        <f t="shared" si="14"/>
        <v>0</v>
      </c>
      <c r="F32" s="33">
        <f t="shared" si="14"/>
        <v>0</v>
      </c>
      <c r="G32" s="33">
        <f t="shared" si="14"/>
        <v>0</v>
      </c>
      <c r="H32" s="33">
        <f t="shared" si="14"/>
        <v>0</v>
      </c>
      <c r="I32" s="33">
        <f t="shared" si="14"/>
        <v>0</v>
      </c>
      <c r="J32" s="33">
        <f t="shared" si="14"/>
        <v>0</v>
      </c>
      <c r="K32" s="33">
        <f t="shared" si="14"/>
        <v>0</v>
      </c>
      <c r="L32" s="33">
        <f t="shared" si="14"/>
        <v>0</v>
      </c>
      <c r="M32" s="38">
        <f t="shared" si="4"/>
        <v>16</v>
      </c>
    </row>
    <row r="33" spans="1:13" x14ac:dyDescent="0.25">
      <c r="A33" s="26" t="s">
        <v>30</v>
      </c>
      <c r="B33" s="33">
        <f t="shared" ref="B33:L33" si="15">B15*B$19</f>
        <v>0</v>
      </c>
      <c r="C33" s="33">
        <f t="shared" si="15"/>
        <v>16</v>
      </c>
      <c r="D33" s="33">
        <f t="shared" si="15"/>
        <v>0</v>
      </c>
      <c r="E33" s="33">
        <f t="shared" si="15"/>
        <v>9</v>
      </c>
      <c r="F33" s="33">
        <f t="shared" si="15"/>
        <v>0</v>
      </c>
      <c r="G33" s="33">
        <f t="shared" si="15"/>
        <v>0</v>
      </c>
      <c r="H33" s="33">
        <f t="shared" si="15"/>
        <v>26</v>
      </c>
      <c r="I33" s="33">
        <f t="shared" si="15"/>
        <v>25</v>
      </c>
      <c r="J33" s="33">
        <f t="shared" si="15"/>
        <v>50</v>
      </c>
      <c r="K33" s="33">
        <f t="shared" si="15"/>
        <v>0</v>
      </c>
      <c r="L33" s="33">
        <f t="shared" si="15"/>
        <v>0</v>
      </c>
      <c r="M33" s="38">
        <f t="shared" si="4"/>
        <v>126</v>
      </c>
    </row>
    <row r="34" spans="1:13" x14ac:dyDescent="0.25">
      <c r="A34" s="34" t="s">
        <v>90</v>
      </c>
      <c r="B34" s="34">
        <f t="shared" ref="B34:L34" si="16">SUBTOTAL(9,B21:B33)</f>
        <v>88</v>
      </c>
      <c r="C34" s="34">
        <f t="shared" si="16"/>
        <v>48</v>
      </c>
      <c r="D34" s="34">
        <f t="shared" si="16"/>
        <v>0</v>
      </c>
      <c r="E34" s="34">
        <f t="shared" si="16"/>
        <v>9</v>
      </c>
      <c r="F34" s="34">
        <f t="shared" si="16"/>
        <v>0</v>
      </c>
      <c r="G34" s="34">
        <f t="shared" si="16"/>
        <v>0</v>
      </c>
      <c r="H34" s="34">
        <f t="shared" si="16"/>
        <v>39</v>
      </c>
      <c r="I34" s="34">
        <f t="shared" si="16"/>
        <v>50</v>
      </c>
      <c r="J34" s="34">
        <f t="shared" si="16"/>
        <v>125</v>
      </c>
      <c r="K34" s="34">
        <f t="shared" si="16"/>
        <v>105</v>
      </c>
      <c r="L34" s="34">
        <f t="shared" si="16"/>
        <v>0</v>
      </c>
      <c r="M34" s="34">
        <f>SUM(9,M21:M33)</f>
        <v>473</v>
      </c>
    </row>
  </sheetData>
  <conditionalFormatting sqref="M21:M33">
    <cfRule type="colorScale" priority="2">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6</vt:i4>
      </vt:variant>
      <vt:variant>
        <vt:lpstr>Zone denumite</vt:lpstr>
      </vt:variant>
      <vt:variant>
        <vt:i4>3</vt:i4>
      </vt:variant>
    </vt:vector>
  </HeadingPairs>
  <TitlesOfParts>
    <vt:vector size="9" baseType="lpstr">
      <vt:lpstr>PAAP_2023</vt:lpstr>
      <vt:lpstr>Proiecte</vt:lpstr>
      <vt:lpstr>Pivot CB</vt:lpstr>
      <vt:lpstr>Pivot CA</vt:lpstr>
      <vt:lpstr>Pivot_Leveling</vt:lpstr>
      <vt:lpstr>Leveling</vt:lpstr>
      <vt:lpstr>PAAP_2023!Imprimare_titluri</vt:lpstr>
      <vt:lpstr>Proiecte!Imprimare_titluri</vt:lpstr>
      <vt:lpstr>Proiecte!Zona_de_imprimat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Simion ILIE</dc:creator>
  <cp:lastModifiedBy>MARIUS-LEON TĂNASIE</cp:lastModifiedBy>
  <cp:lastPrinted>2023-10-16T09:35:34Z</cp:lastPrinted>
  <dcterms:created xsi:type="dcterms:W3CDTF">2018-07-17T13:07:47Z</dcterms:created>
  <dcterms:modified xsi:type="dcterms:W3CDTF">2025-07-17T08:26:01Z</dcterms:modified>
</cp:coreProperties>
</file>