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C:\Users\97874416\Desktop\Informare site MF\2024\"/>
    </mc:Choice>
  </mc:AlternateContent>
  <xr:revisionPtr revIDLastSave="0" documentId="13_ncr:1_{3B55F613-11E9-4CC3-AD14-E7C877C188CA}" xr6:coauthVersionLast="36" xr6:coauthVersionMax="36" xr10:uidLastSave="{00000000-0000-0000-0000-000000000000}"/>
  <bookViews>
    <workbookView xWindow="-105" yWindow="-105" windowWidth="21810" windowHeight="11730" tabRatio="512" firstSheet="1" activeTab="1" xr2:uid="{00000000-000D-0000-FFFF-FFFF00000000}"/>
  </bookViews>
  <sheets>
    <sheet name="PAAP_2023" sheetId="1" r:id="rId1"/>
    <sheet name="A1_AD" sheetId="2" r:id="rId2"/>
    <sheet name="A2_Ex_L98" sheetId="3" r:id="rId3"/>
    <sheet name="Proiecte" sheetId="10" state="hidden" r:id="rId4"/>
    <sheet name="Pivot CB" sheetId="5" state="hidden" r:id="rId5"/>
    <sheet name="Pivot CA" sheetId="6" state="hidden" r:id="rId6"/>
    <sheet name="Pivot_Leveling" sheetId="8" state="hidden" r:id="rId7"/>
    <sheet name="Leveling" sheetId="9" state="hidden" r:id="rId8"/>
    <sheet name="Liste" sheetId="4" r:id="rId9"/>
  </sheets>
  <definedNames>
    <definedName name="_xlcn.WorksheetConnection_2018_07_16_PAAP_electronic_APROBAT_OPC.xlsxCoduri_bugetare1" hidden="1">Coduri_bugetare[]</definedName>
    <definedName name="_xlcn.WorksheetConnection_2018_07_16_PAAP_electronic_APROBAT_OPC.xlsxDisponibil1" hidden="1">Disponibil[]</definedName>
    <definedName name="_xlcn.WorksheetConnection_2018_07_16_PAAP_electronic_APROBAT_OPC.xlsxTabel_A8_AD1" hidden="1">Tabel_A1_AD[]</definedName>
    <definedName name="_xlcn.WorksheetConnection_2018_07_16_PAAP_electronic_APROBAT_OPC.xlsxTabel_A9_Ex_L981" hidden="1">Tabel_A2_Ex_L98[]</definedName>
    <definedName name="_xlcn.WorksheetConnection_2018_07_16_PAAP_electronic_APROBAT_OPC.xlsxTabel_PAAP20181" hidden="1">Tabel_PAAP2019</definedName>
    <definedName name="_xlcn.WorksheetConnection_2018_11_08_PAAP_electronic_lucru.xlsxInvestitii1" hidden="1">Investitii[]</definedName>
    <definedName name="_xlcn.WorksheetConnection_2019_01_15_PAAP_2019_forma_initiala_electronic_lucru.xlsxResponsabil_achizitie1" hidden="1">Responsabil_achizitie[]</definedName>
    <definedName name="_xlcn.WorksheetConnection_2019_01_15_PAAP_2019_forma_initiala_electronic_lucru.xlsxStatus_lucrare1" hidden="1">Status_lucrare[]</definedName>
    <definedName name="_xlcn.WorksheetConnection_2019_01_15_PAAP_2019_forma_initiala_electronic_lucru.xlsxTipul_Procedurii1" hidden="1">Tipul_Procedurii[]</definedName>
    <definedName name="_xlcn.WorksheetConnection_2019_03_25_PAAP_2019_forma_initiala_electronic_lucru_V14_cu_Proiecte.xlsxTabel_Proiecte1" hidden="1">Tabel_Proiecte[]</definedName>
    <definedName name="_xlcn.WorksheetConnection_2020_01_20_PAAP_2020_electronic_lucru_VX.Y.xlsxTrimestrializare1" hidden="1">Trimestrializare[]</definedName>
    <definedName name="art_buget">Liste!$E$2:$E$49</definedName>
    <definedName name="CPV_principal" localSheetId="1">A1_AD!$C$24</definedName>
    <definedName name="dir_solicitanta">Liste!$I$14:$I$22</definedName>
    <definedName name="_xlnm.Print_Titles" localSheetId="1">A1_AD!$7:$7</definedName>
    <definedName name="_xlnm.Print_Titles" localSheetId="2">A2_Ex_L98!$8:$8</definedName>
    <definedName name="_xlnm.Print_Titles" localSheetId="0">PAAP_2023!$10:$10</definedName>
    <definedName name="_xlnm.Print_Titles" localSheetId="3">Proiecte!$8:$8</definedName>
    <definedName name="mod_derulare">Liste!$A$21:$A$22</definedName>
    <definedName name="necesit_AD">Liste!$M$2:$M$50</definedName>
    <definedName name="Proiecte">Lista_proiecte[Proiecte]</definedName>
    <definedName name="responsabil_achiz">Liste!$A$38:$A$48</definedName>
    <definedName name="status_achiz">Liste!$A$25:$A$33</definedName>
    <definedName name="tip_derulare">Liste!$A$21:$A$22</definedName>
    <definedName name="tip_procedura">Liste!$A$2:$A$17</definedName>
    <definedName name="VA_cu_TVA" localSheetId="1">A1_AD!#REF!</definedName>
    <definedName name="VA_fara_TVA" localSheetId="1">A1_AD!$E$9</definedName>
    <definedName name="VEA_fara_TVA" localSheetId="1">A1_AD!#REF!</definedName>
    <definedName name="_xlnm.Print_Area" localSheetId="1">A1_AD!$A$1:$J$139</definedName>
    <definedName name="_xlnm.Print_Area" localSheetId="2">A2_Ex_L98!$A$1:$M$30</definedName>
    <definedName name="_xlnm.Print_Area" localSheetId="0">PAAP_2023!$A$1:$M$53</definedName>
    <definedName name="_xlnm.Print_Area" localSheetId="3">Proiecte!$A$1:$M$65</definedName>
  </definedNames>
  <calcPr calcId="191029"/>
  <pivotCaches>
    <pivotCache cacheId="0" r:id="rId10"/>
    <pivotCache cacheId="1" r:id="rId11"/>
    <pivotCache cacheId="2" r:id="rId1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rimestrializare" name="Trimestrializare" connection="WorksheetConnection_2020_01_20_PAAP_2020_electronic_lucru_VX.Y.xlsx!Trimestrializare"/>
          <x15:modelTable id="Tabel_Proiecte" name="Tabel_Proiecte" connection="WorksheetConnection_2019_03_25_PAAP_2019_forma_initiala_electronic_lucru_V14_cu_Proiecte.xlsx!Tabel_Proiecte"/>
          <x15:modelTable id="Tipul_Procedurii" name="Tipul_Procedurii" connection="WorksheetConnection_2019_01_15_PAAP_2019_forma_initiala_electronic_lucru.xlsx!Tipul_Procedurii"/>
          <x15:modelTable id="Status_lucrare" name="Status_lucrare" connection="WorksheetConnection_2019_01_15_PAAP_2019_forma_initiala_electronic_lucru.xlsx!Status_lucrare"/>
          <x15:modelTable id="Responsabil_achizitie" name="Responsabil_achizitie" connection="WorksheetConnection_2019_01_15_PAAP_2019_forma_initiala_electronic_lucru.xlsx!Responsabil_achizitie"/>
          <x15:modelTable id="Investitii" name="Investitii" connection="WorksheetConnection_2018_11_08_PAAP_electronic_lucru.xlsx!Investitii"/>
          <x15:modelTable id="Tabel_PAAP2018" name="Tabel_PAAP2018" connection="WorksheetConnection_2018_07_16_PAAP_electronic_APROBAT_OPC.xlsx!Tabel_PAAP2018"/>
          <x15:modelTable id="Tabel_A9_Ex_L98" name="Tabel_A9_Ex_L98" connection="WorksheetConnection_2018_07_16_PAAP_electronic_APROBAT_OPC.xlsx!Tabel_A9_Ex_L98"/>
          <x15:modelTable id="Tabel_A8_AD" name="Tabel_A8_AD" connection="WorksheetConnection_2018_07_16_PAAP_electronic_APROBAT_OPC.xlsx!Tabel_A8_AD"/>
          <x15:modelTable id="Disponibil" name="Disponibil" connection="WorksheetConnection_2018_07_16_PAAP_electronic_APROBAT_OPC.xlsx!Disponibil"/>
          <x15:modelTable id="Coduri_bugetare" name="Coduri_bugetare" connection="WorksheetConnection_2018_07_16_PAAP_electronic_APROBAT_OPC.xlsx!Coduri_bugetare"/>
        </x15:modelTables>
        <x15:modelRelationships>
          <x15:modelRelationship fromTable="Tabel_PAAP2018" fromColumn="Articol Bugetar" toTable="Coduri_bugetare" toColumn="Cod bugetar"/>
          <x15:modelRelationship fromTable="Tabel_PAAP2018" fromColumn="Pus disponibil" toTable="Disponibil" toColumn="Disponibil"/>
          <x15:modelRelationship fromTable="Tabel_PAAP2018" fromColumn="Trimestru" toTable="Investitii" toColumn="Investitii"/>
          <x15:modelRelationship fromTable="Tabel_PAAP2018" fromColumn="Responsabil" toTable="Responsabil_achizitie" toColumn="Responsabil achizitie"/>
          <x15:modelRelationship fromTable="Tabel_PAAP2018" fromColumn="Tip procedura" toTable="Tipul_Procedurii" toColumn="Procedura"/>
          <x15:modelRelationship fromTable="Tabel_PAAP2018" fromColumn="Stare" toTable="Status_lucrare" toColumn="Status"/>
          <x15:modelRelationship fromTable="Tabel_PAAP2018" fromColumn="Trimestru" toTable="Trimestrializare" toColumn="Trimestrializare"/>
          <x15:modelRelationship fromTable="Tabel_A8_AD" fromColumn="Articol Bugetar" toTable="Coduri_bugetare" toColumn="Cod bugetar"/>
          <x15:modelRelationship fromTable="Tabel_A8_AD" fromColumn="Pus disponibil" toTable="Disponibil" toColumn="Disponibil"/>
          <x15:modelRelationship fromTable="Tabel_A8_AD" fromColumn="Trimestru" toTable="Investitii" toColumn="Investitii"/>
          <x15:modelRelationship fromTable="Tabel_A8_AD" fromColumn="Responsabil" toTable="Responsabil_achizitie" toColumn="Responsabil achizitie"/>
          <x15:modelRelationship fromTable="Tabel_A8_AD" fromColumn="Tip AD" toTable="Tipul_Procedurii" toColumn="Procedura"/>
          <x15:modelRelationship fromTable="Tabel_A8_AD" fromColumn="Stare" toTable="Status_lucrare" toColumn="Status"/>
          <x15:modelRelationship fromTable="Tabel_A8_AD" fromColumn="Trimestru" toTable="Trimestrializare" toColumn="Trimestrializare"/>
          <x15:modelRelationship fromTable="Tabel_A9_Ex_L98" fromColumn="Articol Bugetar" toTable="Coduri_bugetare" toColumn="Cod bugetar"/>
          <x15:modelRelationship fromTable="Tabel_A9_Ex_L98" fromColumn="Pus disponibil" toTable="Disponibil" toColumn="Disponibil"/>
          <x15:modelRelationship fromTable="Tabel_A9_Ex_L98" fromColumn="Trimestru" toTable="Investitii" toColumn="Investitii"/>
          <x15:modelRelationship fromTable="Tabel_A9_Ex_L98" fromColumn="Responsabil" toTable="Responsabil_achizitie" toColumn="Responsabil achizitie"/>
          <x15:modelRelationship fromTable="Tabel_A9_Ex_L98" fromColumn="Tip procedura" toTable="Tipul_Procedurii" toColumn="Procedura"/>
          <x15:modelRelationship fromTable="Tabel_A9_Ex_L98" fromColumn="Stare" toTable="Status_lucrare" toColumn="Status"/>
          <x15:modelRelationship fromTable="Tabel_A9_Ex_L98" fromColumn="Trimestru" toTable="Trimestrializare" toColumn="Trimestrializare"/>
          <x15:modelRelationship fromTable="Tabel_Proiecte" fromColumn="Tip procedura" toTable="Tipul_Procedurii" toColumn="Procedura"/>
          <x15:modelRelationship fromTable="Tabel_Proiecte" fromColumn="Responsabil" toTable="Responsabil_achizitie" toColumn="Responsabil achizitie"/>
          <x15:modelRelationship fromTable="Tabel_Proiecte" fromColumn="Stare" toTable="Status_lucrare" toColumn="Status"/>
        </x15:modelRelationships>
      </x15:dataModel>
    </ext>
  </extLst>
</workbook>
</file>

<file path=xl/calcChain.xml><?xml version="1.0" encoding="utf-8"?>
<calcChain xmlns="http://schemas.openxmlformats.org/spreadsheetml/2006/main">
  <c r="E138" i="2" l="1"/>
  <c r="E137" i="2" l="1"/>
  <c r="E136" i="2" l="1"/>
  <c r="E135" i="2" l="1"/>
  <c r="E134" i="2" l="1"/>
  <c r="E133" i="2"/>
  <c r="E132" i="2" l="1"/>
  <c r="E131" i="2"/>
  <c r="E130" i="2" l="1"/>
  <c r="E128" i="2" l="1"/>
  <c r="E129" i="2"/>
  <c r="E127" i="2" l="1"/>
  <c r="E126" i="2" l="1"/>
  <c r="E124" i="2" l="1"/>
  <c r="E123" i="2" l="1"/>
  <c r="E122" i="2" l="1"/>
  <c r="E121" i="2" l="1"/>
  <c r="E120" i="2" l="1"/>
  <c r="E119" i="2" l="1"/>
  <c r="E118" i="2"/>
  <c r="E117" i="2" l="1"/>
  <c r="E116" i="2" l="1"/>
  <c r="E115" i="2"/>
  <c r="E114" i="2" l="1"/>
  <c r="E112" i="2" l="1"/>
  <c r="E113" i="2"/>
  <c r="E111" i="2" l="1"/>
  <c r="E110" i="2" l="1"/>
  <c r="E108" i="2" l="1"/>
  <c r="E107" i="2" l="1"/>
  <c r="E106" i="2" l="1"/>
  <c r="E105" i="2" l="1"/>
  <c r="E104" i="2" l="1"/>
  <c r="E103" i="2"/>
  <c r="E101" i="2" l="1"/>
  <c r="E102" i="2"/>
  <c r="E100" i="2" l="1"/>
  <c r="E98" i="2" l="1"/>
  <c r="E99" i="2"/>
  <c r="E97" i="2"/>
  <c r="E96" i="2" l="1"/>
  <c r="E94" i="2"/>
  <c r="E95" i="2"/>
  <c r="E93" i="2" l="1"/>
  <c r="E92" i="2" l="1"/>
  <c r="E90" i="2" l="1"/>
  <c r="E89" i="2" l="1"/>
  <c r="E88" i="2" l="1"/>
  <c r="E87" i="2" l="1"/>
  <c r="E85" i="2" l="1"/>
  <c r="E86" i="2"/>
  <c r="E84" i="2" l="1"/>
  <c r="E83" i="2" l="1"/>
  <c r="E82" i="2" l="1"/>
  <c r="E81" i="2" l="1"/>
  <c r="E80" i="2" l="1"/>
  <c r="E79" i="2" l="1"/>
  <c r="E78" i="2" l="1"/>
  <c r="E77" i="2"/>
  <c r="E70" i="2" l="1"/>
  <c r="E75" i="2" l="1"/>
  <c r="E76" i="2"/>
  <c r="E73" i="2" l="1"/>
  <c r="E74" i="2"/>
  <c r="E72" i="2"/>
  <c r="E69" i="2" l="1"/>
  <c r="E71" i="2"/>
  <c r="E68" i="2" l="1"/>
  <c r="E67" i="2" l="1"/>
  <c r="E66" i="2" l="1"/>
  <c r="E65" i="2" l="1"/>
  <c r="E64" i="2" l="1"/>
  <c r="E40" i="2" l="1"/>
  <c r="E63" i="2" l="1"/>
  <c r="E62" i="2" l="1"/>
  <c r="E61" i="2"/>
  <c r="E60" i="2" l="1"/>
  <c r="E57" i="2" l="1"/>
  <c r="E58" i="2"/>
  <c r="E59" i="2"/>
  <c r="E56" i="2" l="1"/>
  <c r="E55" i="2"/>
  <c r="E54" i="2"/>
  <c r="E53" i="2"/>
  <c r="E52" i="2" l="1"/>
  <c r="E51" i="2" l="1"/>
  <c r="E50" i="2"/>
  <c r="E49" i="2" l="1"/>
  <c r="E48" i="2"/>
  <c r="E47" i="2" l="1"/>
  <c r="E46" i="2" l="1"/>
  <c r="E44" i="2" l="1"/>
  <c r="E45" i="2"/>
  <c r="E41" i="2"/>
  <c r="E42" i="2"/>
  <c r="E39" i="2" l="1"/>
  <c r="E38" i="2" l="1"/>
  <c r="E37" i="2" l="1"/>
  <c r="E36" i="2" l="1"/>
  <c r="E34" i="2" l="1"/>
  <c r="E18" i="1" l="1"/>
  <c r="E14" i="1" l="1"/>
  <c r="E12" i="1" l="1"/>
  <c r="E11" i="1"/>
  <c r="E15" i="1" l="1"/>
  <c r="E16" i="1"/>
  <c r="E17" i="1"/>
  <c r="E13" i="1"/>
  <c r="E8" i="2" l="1"/>
  <c r="E9" i="2"/>
  <c r="E10" i="2"/>
  <c r="E11" i="2"/>
  <c r="E12" i="2"/>
  <c r="E13" i="2"/>
  <c r="E14" i="2"/>
  <c r="E15" i="2"/>
  <c r="E16" i="2"/>
  <c r="E17" i="2"/>
  <c r="E18" i="2"/>
  <c r="E19" i="2"/>
  <c r="E20" i="2"/>
  <c r="E21" i="2"/>
  <c r="E22" i="2"/>
  <c r="E23" i="2"/>
  <c r="E24" i="2"/>
  <c r="E25" i="2"/>
  <c r="E26" i="2"/>
  <c r="E27" i="2"/>
  <c r="E28" i="2"/>
  <c r="E29" i="2"/>
  <c r="E30" i="2"/>
  <c r="E31" i="2"/>
  <c r="E32" i="2"/>
  <c r="E33" i="2"/>
  <c r="D40" i="1" l="1"/>
  <c r="D11" i="10" l="1"/>
  <c r="D13" i="10"/>
  <c r="D17" i="10"/>
  <c r="E26" i="10"/>
  <c r="F26" i="10"/>
  <c r="D2" i="5"/>
  <c r="E40" i="1" l="1"/>
  <c r="L4" i="9"/>
  <c r="M19" i="9" l="1"/>
  <c r="L22" i="9" l="1"/>
  <c r="E51" i="10" l="1"/>
  <c r="D51" i="10"/>
  <c r="G3" i="9"/>
  <c r="E10" i="9"/>
  <c r="B8" i="9"/>
  <c r="C10" i="9"/>
  <c r="G11" i="9"/>
  <c r="I7" i="9"/>
  <c r="F5" i="9"/>
  <c r="G7" i="9"/>
  <c r="E14" i="9"/>
  <c r="E4" i="9"/>
  <c r="I6" i="9"/>
  <c r="I11" i="9"/>
  <c r="C5" i="9"/>
  <c r="C4" i="9"/>
  <c r="J11" i="9"/>
  <c r="G15" i="9"/>
  <c r="J6" i="9"/>
  <c r="K6" i="9"/>
  <c r="I13" i="9"/>
  <c r="H12" i="9"/>
  <c r="I5" i="9"/>
  <c r="F13" i="9"/>
  <c r="F6" i="9"/>
  <c r="B4" i="9"/>
  <c r="L5" i="9"/>
  <c r="K3" i="9"/>
  <c r="H13" i="9"/>
  <c r="L13" i="9"/>
  <c r="K13" i="9"/>
  <c r="E8" i="9"/>
  <c r="K9" i="9"/>
  <c r="B5" i="9"/>
  <c r="F3" i="9"/>
  <c r="D5" i="9"/>
  <c r="G4" i="9"/>
  <c r="F15" i="9"/>
  <c r="K11" i="9"/>
  <c r="J13" i="9"/>
  <c r="F9" i="9"/>
  <c r="F8" i="9"/>
  <c r="F4" i="9"/>
  <c r="J3" i="9"/>
  <c r="B14" i="9"/>
  <c r="C7" i="9"/>
  <c r="F11" i="9"/>
  <c r="L9" i="9"/>
  <c r="G5" i="9"/>
  <c r="H14" i="9"/>
  <c r="B9" i="9"/>
  <c r="K12" i="9"/>
  <c r="H8" i="9"/>
  <c r="I12" i="9"/>
  <c r="J8" i="9"/>
  <c r="E6" i="9"/>
  <c r="I3" i="9"/>
  <c r="I4" i="9"/>
  <c r="L8" i="9"/>
  <c r="I15" i="9"/>
  <c r="G14" i="9"/>
  <c r="I14" i="9"/>
  <c r="L11" i="9"/>
  <c r="G9" i="9"/>
  <c r="D10" i="9"/>
  <c r="D3" i="9"/>
  <c r="H6" i="9"/>
  <c r="H4" i="9"/>
  <c r="L7" i="9"/>
  <c r="J10" i="9"/>
  <c r="F7" i="9"/>
  <c r="G12" i="9"/>
  <c r="L14" i="9"/>
  <c r="E7" i="9"/>
  <c r="D15" i="9"/>
  <c r="E15" i="9"/>
  <c r="C11" i="9"/>
  <c r="I10" i="9"/>
  <c r="E12" i="9"/>
  <c r="E3" i="9"/>
  <c r="H10" i="9"/>
  <c r="B10" i="9"/>
  <c r="L6" i="9"/>
  <c r="G13" i="9"/>
  <c r="J14" i="9"/>
  <c r="D12" i="9"/>
  <c r="E13" i="9"/>
  <c r="K7" i="9"/>
  <c r="K8" i="9"/>
  <c r="F10" i="9"/>
  <c r="G6" i="9"/>
  <c r="K4" i="9"/>
  <c r="B11" i="9"/>
  <c r="H15" i="9"/>
  <c r="J7" i="9"/>
  <c r="C9" i="9"/>
  <c r="B6" i="9"/>
  <c r="K5" i="9"/>
  <c r="J15" i="9"/>
  <c r="J5" i="9"/>
  <c r="D9" i="9"/>
  <c r="K15" i="9"/>
  <c r="J4" i="9"/>
  <c r="G10" i="9"/>
  <c r="D6" i="9"/>
  <c r="G8" i="9"/>
  <c r="C6" i="9"/>
  <c r="H5" i="9"/>
  <c r="L12" i="9"/>
  <c r="H11" i="9"/>
  <c r="C14" i="9"/>
  <c r="D4" i="9"/>
  <c r="C3" i="9"/>
  <c r="D7" i="9"/>
  <c r="B13" i="9"/>
  <c r="L10" i="9"/>
  <c r="D11" i="9"/>
  <c r="B12" i="9"/>
  <c r="E5" i="9"/>
  <c r="H9" i="9"/>
  <c r="L3" i="9"/>
  <c r="I8" i="9"/>
  <c r="C13" i="9"/>
  <c r="K10" i="9"/>
  <c r="E9" i="9"/>
  <c r="D14" i="9"/>
  <c r="H7" i="9"/>
  <c r="E11" i="9"/>
  <c r="D13" i="9"/>
  <c r="H3" i="9"/>
  <c r="F12" i="9"/>
  <c r="K14" i="9"/>
  <c r="D8" i="9"/>
  <c r="L15" i="9"/>
  <c r="F14" i="9"/>
  <c r="B15" i="9"/>
  <c r="C15" i="9"/>
  <c r="I9" i="9"/>
  <c r="B3" i="9"/>
  <c r="J9" i="9"/>
  <c r="C12" i="9"/>
  <c r="C8" i="9"/>
  <c r="J12" i="9"/>
  <c r="B7" i="9"/>
  <c r="E33" i="9" l="1"/>
  <c r="L21" i="9"/>
  <c r="L16" i="9"/>
  <c r="J32" i="9"/>
  <c r="H32" i="9"/>
  <c r="J25" i="9"/>
  <c r="M5" i="9"/>
  <c r="H31" i="9"/>
  <c r="J24" i="9"/>
  <c r="F30" i="9"/>
  <c r="J28" i="9"/>
  <c r="E26" i="9"/>
  <c r="H22" i="9"/>
  <c r="M12" i="9"/>
  <c r="E21" i="9"/>
  <c r="E16" i="9"/>
  <c r="M7" i="9"/>
  <c r="E28" i="9"/>
  <c r="C27" i="9"/>
  <c r="E22" i="9"/>
  <c r="H24" i="9"/>
  <c r="G16" i="9"/>
  <c r="M13" i="9"/>
  <c r="F32" i="9"/>
  <c r="M9" i="9"/>
  <c r="C23" i="9"/>
  <c r="C33" i="9"/>
  <c r="C28" i="9"/>
  <c r="M4" i="9"/>
  <c r="C26" i="9"/>
  <c r="E32" i="9"/>
  <c r="M15" i="9"/>
  <c r="H30" i="9"/>
  <c r="J27" i="9"/>
  <c r="F23" i="9"/>
  <c r="L32" i="9"/>
  <c r="E23" i="9"/>
  <c r="E24" i="9"/>
  <c r="M6" i="9"/>
  <c r="H27" i="9"/>
  <c r="F26" i="9"/>
  <c r="L29" i="9"/>
  <c r="H29" i="9"/>
  <c r="I26" i="9"/>
  <c r="H21" i="9"/>
  <c r="H16" i="9"/>
  <c r="F22" i="9"/>
  <c r="C22" i="9"/>
  <c r="H28" i="9"/>
  <c r="C29" i="9"/>
  <c r="C24" i="9"/>
  <c r="F25" i="9"/>
  <c r="L31" i="9"/>
  <c r="J30" i="9"/>
  <c r="H23" i="9"/>
  <c r="E27" i="9"/>
  <c r="M11" i="9"/>
  <c r="M10" i="9"/>
  <c r="L30" i="9"/>
  <c r="C30" i="9"/>
  <c r="L25" i="9"/>
  <c r="L33" i="9"/>
  <c r="F29" i="9"/>
  <c r="E29" i="9"/>
  <c r="M14" i="9"/>
  <c r="G26" i="9"/>
  <c r="F24" i="9"/>
  <c r="F21" i="9"/>
  <c r="F16" i="9"/>
  <c r="F31" i="9"/>
  <c r="J29" i="9"/>
  <c r="J21" i="9"/>
  <c r="J16" i="9"/>
  <c r="J26" i="9"/>
  <c r="E30" i="9"/>
  <c r="B26" i="9"/>
  <c r="M8" i="9"/>
  <c r="F27" i="9"/>
  <c r="K16" i="9"/>
  <c r="J33" i="9"/>
  <c r="H26" i="9"/>
  <c r="J23" i="9"/>
  <c r="F28" i="9"/>
  <c r="L28" i="9"/>
  <c r="J22" i="9"/>
  <c r="E25" i="9"/>
  <c r="L26" i="9"/>
  <c r="C16" i="9"/>
  <c r="C21" i="9"/>
  <c r="C25" i="9"/>
  <c r="L24" i="9"/>
  <c r="J31" i="9"/>
  <c r="H33" i="9"/>
  <c r="L27" i="9"/>
  <c r="E31" i="9"/>
  <c r="K26" i="9"/>
  <c r="L23" i="9"/>
  <c r="D16" i="9"/>
  <c r="C32" i="9"/>
  <c r="H25" i="9"/>
  <c r="C31" i="9"/>
  <c r="I16" i="9"/>
  <c r="M3" i="9"/>
  <c r="B16" i="9"/>
  <c r="F33" i="9"/>
  <c r="D26" i="9"/>
  <c r="C34" i="9" l="1"/>
  <c r="M26" i="9"/>
  <c r="H34" i="9"/>
  <c r="E34" i="9"/>
  <c r="F34" i="9"/>
  <c r="L34" i="9"/>
  <c r="M16" i="9"/>
  <c r="J34" i="9"/>
  <c r="B23" i="9"/>
  <c r="B22" i="9"/>
  <c r="D21" i="9"/>
  <c r="B24" i="9"/>
  <c r="B21" i="9"/>
  <c r="G24" i="9" l="1"/>
  <c r="I28" i="9"/>
  <c r="K33" i="9"/>
  <c r="D30" i="9"/>
  <c r="D29" i="9"/>
  <c r="B29" i="9"/>
  <c r="B27" i="9"/>
  <c r="G32" i="9"/>
  <c r="G30" i="9"/>
  <c r="I23" i="9"/>
  <c r="K21" i="9"/>
  <c r="D22" i="9"/>
  <c r="I25" i="9"/>
  <c r="G28" i="9"/>
  <c r="K22" i="9"/>
  <c r="K25" i="9"/>
  <c r="K24" i="9"/>
  <c r="D25" i="9"/>
  <c r="K28" i="9"/>
  <c r="K30" i="9"/>
  <c r="B25" i="9"/>
  <c r="D27" i="9"/>
  <c r="G31" i="9"/>
  <c r="I22" i="9"/>
  <c r="B31" i="9"/>
  <c r="G21" i="9"/>
  <c r="K32" i="9"/>
  <c r="G25" i="9"/>
  <c r="D28" i="9"/>
  <c r="G22" i="9"/>
  <c r="I33" i="9"/>
  <c r="B32" i="9"/>
  <c r="I31" i="9"/>
  <c r="I21" i="9"/>
  <c r="I27" i="9"/>
  <c r="K27" i="9"/>
  <c r="D32" i="9"/>
  <c r="D23" i="9"/>
  <c r="B30" i="9"/>
  <c r="I29" i="9"/>
  <c r="G27" i="9"/>
  <c r="B33" i="9"/>
  <c r="B28" i="9"/>
  <c r="I30" i="9"/>
  <c r="G33" i="9"/>
  <c r="K23" i="9"/>
  <c r="D33" i="9"/>
  <c r="K29" i="9"/>
  <c r="I32" i="9"/>
  <c r="D31" i="9"/>
  <c r="K31" i="9"/>
  <c r="I24" i="9"/>
  <c r="G23" i="9"/>
  <c r="G29" i="9"/>
  <c r="D24" i="9"/>
  <c r="M24" i="9" l="1"/>
  <c r="M28" i="9"/>
  <c r="M23" i="9"/>
  <c r="M32" i="9"/>
  <c r="M21" i="9"/>
  <c r="M22" i="9"/>
  <c r="M27" i="9"/>
  <c r="M30" i="9"/>
  <c r="M29" i="9"/>
  <c r="M33" i="9"/>
  <c r="M31" i="9"/>
  <c r="M25" i="9"/>
  <c r="B34" i="9"/>
  <c r="I34" i="9"/>
  <c r="G34" i="9"/>
  <c r="K34" i="9"/>
  <c r="D34" i="9"/>
  <c r="M34" i="9" l="1"/>
  <c r="D3"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2018_07_16_PAAP_electronic_APROBAT_OPC.xlsx!Coduri_bugetare" type="102" refreshedVersion="6" minRefreshableVersion="5">
    <extLst>
      <ext xmlns:x15="http://schemas.microsoft.com/office/spreadsheetml/2010/11/main" uri="{DE250136-89BD-433C-8126-D09CA5730AF9}">
        <x15:connection id="Coduri_bugetare">
          <x15:rangePr sourceName="_xlcn.WorksheetConnection_2018_07_16_PAAP_electronic_APROBAT_OPC.xlsxCoduri_bugetare1"/>
        </x15:connection>
      </ext>
    </extLst>
  </connection>
  <connection id="3" xr16:uid="{00000000-0015-0000-FFFF-FFFF02000000}" name="WorksheetConnection_2018_07_16_PAAP_electronic_APROBAT_OPC.xlsx!Disponibil" type="102" refreshedVersion="6" minRefreshableVersion="5">
    <extLst>
      <ext xmlns:x15="http://schemas.microsoft.com/office/spreadsheetml/2010/11/main" uri="{DE250136-89BD-433C-8126-D09CA5730AF9}">
        <x15:connection id="Disponibil">
          <x15:rangePr sourceName="_xlcn.WorksheetConnection_2018_07_16_PAAP_electronic_APROBAT_OPC.xlsxDisponibil1"/>
        </x15:connection>
      </ext>
    </extLst>
  </connection>
  <connection id="4" xr16:uid="{00000000-0015-0000-FFFF-FFFF03000000}" name="WorksheetConnection_2018_07_16_PAAP_electronic_APROBAT_OPC.xlsx!Tabel_A8_AD" type="102" refreshedVersion="6" minRefreshableVersion="5">
    <extLst>
      <ext xmlns:x15="http://schemas.microsoft.com/office/spreadsheetml/2010/11/main" uri="{DE250136-89BD-433C-8126-D09CA5730AF9}">
        <x15:connection id="Tabel_A8_AD">
          <x15:rangePr sourceName="_xlcn.WorksheetConnection_2018_07_16_PAAP_electronic_APROBAT_OPC.xlsxTabel_A8_AD1"/>
        </x15:connection>
      </ext>
    </extLst>
  </connection>
  <connection id="5" xr16:uid="{00000000-0015-0000-FFFF-FFFF04000000}" name="WorksheetConnection_2018_07_16_PAAP_electronic_APROBAT_OPC.xlsx!Tabel_A9_Ex_L98" type="102" refreshedVersion="6" minRefreshableVersion="5">
    <extLst>
      <ext xmlns:x15="http://schemas.microsoft.com/office/spreadsheetml/2010/11/main" uri="{DE250136-89BD-433C-8126-D09CA5730AF9}">
        <x15:connection id="Tabel_A9_Ex_L98">
          <x15:rangePr sourceName="_xlcn.WorksheetConnection_2018_07_16_PAAP_electronic_APROBAT_OPC.xlsxTabel_A9_Ex_L981"/>
        </x15:connection>
      </ext>
    </extLst>
  </connection>
  <connection id="6" xr16:uid="{00000000-0015-0000-FFFF-FFFF05000000}" name="WorksheetConnection_2018_07_16_PAAP_electronic_APROBAT_OPC.xlsx!Tabel_PAAP2018" type="102" refreshedVersion="6" minRefreshableVersion="5">
    <extLst>
      <ext xmlns:x15="http://schemas.microsoft.com/office/spreadsheetml/2010/11/main" uri="{DE250136-89BD-433C-8126-D09CA5730AF9}">
        <x15:connection id="Tabel_PAAP2018" autoDelete="1">
          <x15:rangePr sourceName="_xlcn.WorksheetConnection_2018_07_16_PAAP_electronic_APROBAT_OPC.xlsxTabel_PAAP20181"/>
        </x15:connection>
      </ext>
    </extLst>
  </connection>
  <connection id="7" xr16:uid="{00000000-0015-0000-FFFF-FFFF06000000}" name="WorksheetConnection_2018_11_08_PAAP_electronic_lucru.xlsx!Investitii" type="102" refreshedVersion="6" minRefreshableVersion="5">
    <extLst>
      <ext xmlns:x15="http://schemas.microsoft.com/office/spreadsheetml/2010/11/main" uri="{DE250136-89BD-433C-8126-D09CA5730AF9}">
        <x15:connection id="Investitii">
          <x15:rangePr sourceName="_xlcn.WorksheetConnection_2018_11_08_PAAP_electronic_lucru.xlsxInvestitii1"/>
        </x15:connection>
      </ext>
    </extLst>
  </connection>
  <connection id="8" xr16:uid="{00000000-0015-0000-FFFF-FFFF07000000}" name="WorksheetConnection_2019_01_15_PAAP_2019_forma_initiala_electronic_lucru.xlsx!Responsabil_achizitie" type="102" refreshedVersion="6" minRefreshableVersion="5">
    <extLst>
      <ext xmlns:x15="http://schemas.microsoft.com/office/spreadsheetml/2010/11/main" uri="{DE250136-89BD-433C-8126-D09CA5730AF9}">
        <x15:connection id="Responsabil_achizitie">
          <x15:rangePr sourceName="_xlcn.WorksheetConnection_2019_01_15_PAAP_2019_forma_initiala_electronic_lucru.xlsxResponsabil_achizitie1"/>
        </x15:connection>
      </ext>
    </extLst>
  </connection>
  <connection id="9" xr16:uid="{00000000-0015-0000-FFFF-FFFF08000000}" name="WorksheetConnection_2019_01_15_PAAP_2019_forma_initiala_electronic_lucru.xlsx!Status_lucrare" type="102" refreshedVersion="6" minRefreshableVersion="5">
    <extLst>
      <ext xmlns:x15="http://schemas.microsoft.com/office/spreadsheetml/2010/11/main" uri="{DE250136-89BD-433C-8126-D09CA5730AF9}">
        <x15:connection id="Status_lucrare">
          <x15:rangePr sourceName="_xlcn.WorksheetConnection_2019_01_15_PAAP_2019_forma_initiala_electronic_lucru.xlsxStatus_lucrare1"/>
        </x15:connection>
      </ext>
    </extLst>
  </connection>
  <connection id="10" xr16:uid="{00000000-0015-0000-FFFF-FFFF09000000}" name="WorksheetConnection_2019_01_15_PAAP_2019_forma_initiala_electronic_lucru.xlsx!Tipul_Procedurii" type="102" refreshedVersion="6" minRefreshableVersion="5">
    <extLst>
      <ext xmlns:x15="http://schemas.microsoft.com/office/spreadsheetml/2010/11/main" uri="{DE250136-89BD-433C-8126-D09CA5730AF9}">
        <x15:connection id="Tipul_Procedurii">
          <x15:rangePr sourceName="_xlcn.WorksheetConnection_2019_01_15_PAAP_2019_forma_initiala_electronic_lucru.xlsxTipul_Procedurii1"/>
        </x15:connection>
      </ext>
    </extLst>
  </connection>
  <connection id="11" xr16:uid="{00000000-0015-0000-FFFF-FFFF0A000000}" name="WorksheetConnection_2019_03_25_PAAP_2019_forma_initiala_electronic_lucru_V14_cu_Proiecte.xlsx!Tabel_Proiecte" type="102" refreshedVersion="6" minRefreshableVersion="5">
    <extLst>
      <ext xmlns:x15="http://schemas.microsoft.com/office/spreadsheetml/2010/11/main" uri="{DE250136-89BD-433C-8126-D09CA5730AF9}">
        <x15:connection id="Tabel_Proiecte">
          <x15:rangePr sourceName="_xlcn.WorksheetConnection_2019_03_25_PAAP_2019_forma_initiala_electronic_lucru_V14_cu_Proiecte.xlsxTabel_Proiecte1"/>
        </x15:connection>
      </ext>
    </extLst>
  </connection>
  <connection id="12" xr16:uid="{00000000-0015-0000-FFFF-FFFF0B000000}" name="WorksheetConnection_2020_01_20_PAAP_2020_electronic_lucru_VX.Y.xlsx!Trimestrializare" type="102" refreshedVersion="6" minRefreshableVersion="5">
    <extLst>
      <ext xmlns:x15="http://schemas.microsoft.com/office/spreadsheetml/2010/11/main" uri="{DE250136-89BD-433C-8126-D09CA5730AF9}">
        <x15:connection id="Trimestrializare">
          <x15:rangePr sourceName="_xlcn.WorksheetConnection_2020_01_20_PAAP_2020_electronic_lucru_VX.Y.xlsxTrimestrializare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ThisWorkbookDataModel"/>
    <s v="{[Investitii].[Investitii].[All]}"/>
    <s v="{[Disponibil].[Disponibil].&amp;,[Disponibil].[Disponibil].&amp;[NU]}"/>
    <s v="{[Status_lucrare].[Status].&amp;[În plan]}"/>
    <s v="{[Disponibil].[Disponibil].[All]}"/>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<sst xmlns="http://schemas.openxmlformats.org/spreadsheetml/2006/main" count="1946" uniqueCount="947">
  <si>
    <t>Nr. crt.</t>
  </si>
  <si>
    <t>Obiectul contractului</t>
  </si>
  <si>
    <t>CPV Principal</t>
  </si>
  <si>
    <t>Valoare estimata 
- lei fără TVA -</t>
  </si>
  <si>
    <t>Data inceperii</t>
  </si>
  <si>
    <t>Data finalizarii</t>
  </si>
  <si>
    <t>Tip procedura</t>
  </si>
  <si>
    <t>Responsabil</t>
  </si>
  <si>
    <t>Stare</t>
  </si>
  <si>
    <t>Observații</t>
  </si>
  <si>
    <t>Lista de investitii</t>
  </si>
  <si>
    <t>Pus disponibil</t>
  </si>
  <si>
    <t>Articol Bugetar</t>
  </si>
  <si>
    <t>Licitatie deschisa</t>
  </si>
  <si>
    <t>BACNEANU Virginia</t>
  </si>
  <si>
    <t>DA</t>
  </si>
  <si>
    <t>71.01.02</t>
  </si>
  <si>
    <t>71.01.30</t>
  </si>
  <si>
    <t>20.01.01</t>
  </si>
  <si>
    <t xml:space="preserve">Procedura simplificata </t>
  </si>
  <si>
    <t>HORIA Alina</t>
  </si>
  <si>
    <t>71.01.01</t>
  </si>
  <si>
    <t>20.01.06</t>
  </si>
  <si>
    <t>CRETU Anca</t>
  </si>
  <si>
    <t>NU</t>
  </si>
  <si>
    <t>20.01.30</t>
  </si>
  <si>
    <t>20.01.08</t>
  </si>
  <si>
    <t>CIMPEANU Carmen</t>
  </si>
  <si>
    <t>20.30.30</t>
  </si>
  <si>
    <t>20.12</t>
  </si>
  <si>
    <t>GHEORGHE Mirela</t>
  </si>
  <si>
    <t>20.01.03</t>
  </si>
  <si>
    <t>20.01.02</t>
  </si>
  <si>
    <t>ZLOTEA Liliana</t>
  </si>
  <si>
    <t>71.01.03</t>
  </si>
  <si>
    <t>20.01.09</t>
  </si>
  <si>
    <t>Negociere fara publicare prealabila</t>
  </si>
  <si>
    <t>20.01.04</t>
  </si>
  <si>
    <t>SAMOILA Maria</t>
  </si>
  <si>
    <t>20.02</t>
  </si>
  <si>
    <t>20.11</t>
  </si>
  <si>
    <t>TEODORESCU Margareta</t>
  </si>
  <si>
    <t>20.13</t>
  </si>
  <si>
    <t>20.05.30</t>
  </si>
  <si>
    <t>20.30.03</t>
  </si>
  <si>
    <t>20.30.02</t>
  </si>
  <si>
    <t>Atribuita</t>
  </si>
  <si>
    <t>20.05.01</t>
  </si>
  <si>
    <t>Exceptie art. 29 L98/2016</t>
  </si>
  <si>
    <t>Licitatie cu strigare</t>
  </si>
  <si>
    <t>20.30.04</t>
  </si>
  <si>
    <t>Exceptie art. 37 L98/2016</t>
  </si>
  <si>
    <t>Procedura proprie</t>
  </si>
  <si>
    <t>Licitatie restransa</t>
  </si>
  <si>
    <t>Negociere competitiva</t>
  </si>
  <si>
    <t>Dialog competitiv</t>
  </si>
  <si>
    <t>Parteneriat pentru inovare</t>
  </si>
  <si>
    <t>Concursul de solutii</t>
  </si>
  <si>
    <t>Procedura de atribuire aplicabila în cazul serviciilor sociale si al altor servicii specifice</t>
  </si>
  <si>
    <t>20.04.01</t>
  </si>
  <si>
    <t>Medicamente</t>
  </si>
  <si>
    <t>20.04.02</t>
  </si>
  <si>
    <t>Materiale sanitare</t>
  </si>
  <si>
    <t>20.04.03</t>
  </si>
  <si>
    <t>Reactivi</t>
  </si>
  <si>
    <t>20.04.04</t>
  </si>
  <si>
    <t>Dezinfectanti</t>
  </si>
  <si>
    <t>Uniforme si echipament</t>
  </si>
  <si>
    <t>20.05.03</t>
  </si>
  <si>
    <t>Lenjerie si accesorii de pat</t>
  </si>
  <si>
    <t>Alte obiecte de inventar</t>
  </si>
  <si>
    <t>20.06.01</t>
  </si>
  <si>
    <t>Deplasari interne, detasari, transferari</t>
  </si>
  <si>
    <t>20.06.02</t>
  </si>
  <si>
    <t>Deplasari în strainatate</t>
  </si>
  <si>
    <t>20.09</t>
  </si>
  <si>
    <t>Materiale de laborator</t>
  </si>
  <si>
    <t>20.1</t>
  </si>
  <si>
    <t>Cercetare-dezvoltare</t>
  </si>
  <si>
    <t>Carti, publicatii si materiale documentare</t>
  </si>
  <si>
    <t>Consultanta si expertiza</t>
  </si>
  <si>
    <t>Pregatire profesionala</t>
  </si>
  <si>
    <t>20.14</t>
  </si>
  <si>
    <t>Protectia muncii</t>
  </si>
  <si>
    <t>20.15</t>
  </si>
  <si>
    <t>Munitie, furnituri si armament de natura activelor fixe pentru armata</t>
  </si>
  <si>
    <t>20.16</t>
  </si>
  <si>
    <t>Studii si cercetari</t>
  </si>
  <si>
    <t>20.18</t>
  </si>
  <si>
    <t>Plati pentru finantarea patrimoniului genetic al animalelor</t>
  </si>
  <si>
    <t>20.19</t>
  </si>
  <si>
    <t>Contributii ale administratiei publice locale la realizarea unor lucrari si servicii de interes public local, în baza unor conventii sau contracte de asociere</t>
  </si>
  <si>
    <t>20.2</t>
  </si>
  <si>
    <t>Reabilitare infrastructura program inundatii pentru autoritati publice locale</t>
  </si>
  <si>
    <t>20.21</t>
  </si>
  <si>
    <t>Meteorologie</t>
  </si>
  <si>
    <t>20.22</t>
  </si>
  <si>
    <t>Finantarea actiunilor din domeniul apelor</t>
  </si>
  <si>
    <t>20.23</t>
  </si>
  <si>
    <t>Prevenirea si combaterea inundatiilor si ingheturilor</t>
  </si>
  <si>
    <t>20.30.01</t>
  </si>
  <si>
    <t>Reclama si publicitate</t>
  </si>
  <si>
    <t>Protocol si reprezentare</t>
  </si>
  <si>
    <t>Prime de asigurare non-viata</t>
  </si>
  <si>
    <t>Chirii</t>
  </si>
  <si>
    <t>20.30.06</t>
  </si>
  <si>
    <t>Prestari servicii pentru transmiterea drepturilor</t>
  </si>
  <si>
    <t>20.30.07</t>
  </si>
  <si>
    <t>Fondul Presedintelui/Fondul conducatorului institutiei publice</t>
  </si>
  <si>
    <t>20.30.08</t>
  </si>
  <si>
    <t>Fondul Primului ministru</t>
  </si>
  <si>
    <t>Alte cheltuieli cu bunuri si servicii</t>
  </si>
  <si>
    <t>Constructii</t>
  </si>
  <si>
    <t>Masini, echipamente si mijloace de transport</t>
  </si>
  <si>
    <t>Mobilier, aparatura birotica si alte active corporale</t>
  </si>
  <si>
    <t>Alte active fixe</t>
  </si>
  <si>
    <t>Anulata</t>
  </si>
  <si>
    <t>DIRECȚIA GENERALĂ ECONOMICĂ</t>
  </si>
  <si>
    <t>Simion ILIE</t>
  </si>
  <si>
    <t>Intocmit,</t>
  </si>
  <si>
    <t>Virginia BACNEANU</t>
  </si>
  <si>
    <t>APROB,</t>
  </si>
  <si>
    <t>CONDUCĂTORUL AUTORITĂȚII CONTRACTANTE</t>
  </si>
  <si>
    <t>Claudia Florina PRISECARU</t>
  </si>
  <si>
    <t>din fonduri bugetare</t>
  </si>
  <si>
    <t>Grand Total</t>
  </si>
  <si>
    <t>Cod bugetar</t>
  </si>
  <si>
    <t>Descriere cod bugetar</t>
  </si>
  <si>
    <t>Total</t>
  </si>
  <si>
    <t>20.25</t>
  </si>
  <si>
    <t>Disponibil</t>
  </si>
  <si>
    <t>Furnituri de birou</t>
  </si>
  <si>
    <t>Materiale pentru curatenie</t>
  </si>
  <si>
    <t>Încalzit, Iluminat si forta motrica</t>
  </si>
  <si>
    <t>Apa, canal si salubritate</t>
  </si>
  <si>
    <t>20.01.05</t>
  </si>
  <si>
    <t>Carburanti si lubrifianti</t>
  </si>
  <si>
    <t>Piese de schimb</t>
  </si>
  <si>
    <t>20.01.07</t>
  </si>
  <si>
    <t>Transport</t>
  </si>
  <si>
    <t>Posta, telecomunicatii, radio, tv, internet</t>
  </si>
  <si>
    <t>Materiale si prestari de servicii cu caracter functional</t>
  </si>
  <si>
    <t>Alte bunuri si servicii pentru întretinere si functionare</t>
  </si>
  <si>
    <t>Reparatii curente</t>
  </si>
  <si>
    <t>20.03.01</t>
  </si>
  <si>
    <t>Hrana pentru oameni</t>
  </si>
  <si>
    <t>DIRECȚIA GENERALĂ SERVICII INTERNE ȘI ACHIZIȚII PUBLICE</t>
  </si>
  <si>
    <t>NEGREA Andrei</t>
  </si>
  <si>
    <t>ALEXANDRU Anisia</t>
  </si>
  <si>
    <t>Director General Adjunct</t>
  </si>
  <si>
    <t>On-line</t>
  </si>
  <si>
    <t>Off-line</t>
  </si>
  <si>
    <t>Modalitate derulare</t>
  </si>
  <si>
    <t>Cheltuieli servicii juridice</t>
  </si>
  <si>
    <t>BUZICA Cristian</t>
  </si>
  <si>
    <t>Șef serviciu,</t>
  </si>
  <si>
    <t>Referent superior,</t>
  </si>
  <si>
    <t>Cristina DUMITRICĂ</t>
  </si>
  <si>
    <t>Investitii</t>
  </si>
  <si>
    <t>Exceptie art. 30 L98/2016</t>
  </si>
  <si>
    <t>ANEXA 1 - ACHIZITII DIRECTE</t>
  </si>
  <si>
    <t>79132100-9</t>
  </si>
  <si>
    <t>OANĂ Elena</t>
  </si>
  <si>
    <t>30213000-5</t>
  </si>
  <si>
    <t>Row Labels</t>
  </si>
  <si>
    <t>All</t>
  </si>
  <si>
    <t>Sum of Valoare estimata  - lei fără TVA -</t>
  </si>
  <si>
    <t>Valoare totală cu TVA</t>
  </si>
  <si>
    <t>OLTEANU Felicia</t>
  </si>
  <si>
    <t>Responsabil achizitie</t>
  </si>
  <si>
    <t>Procedura</t>
  </si>
  <si>
    <t>Tip AD</t>
  </si>
  <si>
    <t>AD simpla</t>
  </si>
  <si>
    <t>AD complexa</t>
  </si>
  <si>
    <t>Procedura simplificata</t>
  </si>
  <si>
    <t>Column Labels</t>
  </si>
  <si>
    <t>Total Count of Tip procedura</t>
  </si>
  <si>
    <t>Count of Tip procedura</t>
  </si>
  <si>
    <t>Total Count of Tip AD</t>
  </si>
  <si>
    <t>Count of Tip AD</t>
  </si>
  <si>
    <t>Status</t>
  </si>
  <si>
    <t>AD Complexa</t>
  </si>
  <si>
    <t>Total lucrari</t>
  </si>
  <si>
    <t>Total zile om</t>
  </si>
  <si>
    <t>Responsabil
achizitie</t>
  </si>
  <si>
    <t>TOTAL</t>
  </si>
  <si>
    <t>Prioritate</t>
  </si>
  <si>
    <t>Departament solicitant</t>
  </si>
  <si>
    <t>Q1</t>
  </si>
  <si>
    <t>Q2</t>
  </si>
  <si>
    <t>Q3</t>
  </si>
  <si>
    <t>Q4</t>
  </si>
  <si>
    <t>URGENT și IMPORTANT</t>
  </si>
  <si>
    <t>Mai puțin URGENT, dar IMPORTANT</t>
  </si>
  <si>
    <t>URGENT, dar mai puțin IMPORTANT</t>
  </si>
  <si>
    <t>Nici URGENT, nici IMPORTANT</t>
  </si>
  <si>
    <t>CNIF</t>
  </si>
  <si>
    <t>SCRPMMT</t>
  </si>
  <si>
    <t>DGSIAP</t>
  </si>
  <si>
    <t>În lucru</t>
  </si>
  <si>
    <t>În plan</t>
  </si>
  <si>
    <t>Anunț publicat</t>
  </si>
  <si>
    <t>În evaluare</t>
  </si>
  <si>
    <t>Finalizată</t>
  </si>
  <si>
    <t>(Multiple Items)</t>
  </si>
  <si>
    <t>DGMDRS</t>
  </si>
  <si>
    <t>DGJ</t>
  </si>
  <si>
    <t>Valoare atribuita</t>
  </si>
  <si>
    <t xml:space="preserve">Director General </t>
  </si>
  <si>
    <t>Carmen-Georgiana BIDAȘCU</t>
  </si>
  <si>
    <t>Ventura DUMITRESCU</t>
  </si>
  <si>
    <t>PROGRAMUL ACHIZIȚIILOR PUBLICE PE PROIECTE</t>
  </si>
  <si>
    <t>din fonduri nerambursabile</t>
  </si>
  <si>
    <t>Proiect</t>
  </si>
  <si>
    <t>Proiect ACP 4 POAD</t>
  </si>
  <si>
    <t>Proiect DGTCP</t>
  </si>
  <si>
    <t>Proiect EDMS</t>
  </si>
  <si>
    <t>Program Elvetiano-RO</t>
  </si>
  <si>
    <t>SIPOCA 8</t>
  </si>
  <si>
    <t>SIPOCA 10</t>
  </si>
  <si>
    <t>SIPOCA 14</t>
  </si>
  <si>
    <t>SIPOCA 29</t>
  </si>
  <si>
    <t>SIPOCA 48</t>
  </si>
  <si>
    <t>SIPOCA 49</t>
  </si>
  <si>
    <t>SIPOCA 449</t>
  </si>
  <si>
    <t>Fiscalis 2013</t>
  </si>
  <si>
    <t>Programul Norvegian</t>
  </si>
  <si>
    <t>Proiecte</t>
  </si>
  <si>
    <t>Consultanta în domeniul achiziţiilor publice, audit, FIDIC şi evaluare pentru perioada de programare 2014-2020</t>
  </si>
  <si>
    <t>79418000-7</t>
  </si>
  <si>
    <t>Consumabile de birotica/papetarie și consumabile IT</t>
  </si>
  <si>
    <t>22819000-4</t>
  </si>
  <si>
    <t>Kituri semnătură electronică și reînnoire certificate digitale</t>
  </si>
  <si>
    <t>Plase de țânțari și echipamente de bucatarie</t>
  </si>
  <si>
    <t>39525500-3</t>
  </si>
  <si>
    <t>Închiriere purificatoare apă</t>
  </si>
  <si>
    <t>51514110-2</t>
  </si>
  <si>
    <t>38652120-7</t>
  </si>
  <si>
    <t xml:space="preserve">Consultanță în vederea dezvoltării capacității ACP pentru gestionarea eficientă a FESI </t>
  </si>
  <si>
    <t>79414000-9</t>
  </si>
  <si>
    <t>Proiect ACP 1 Sprijinire</t>
  </si>
  <si>
    <t>Proiect ACP 2 Formare</t>
  </si>
  <si>
    <t>Proiect ACP 3 SEE</t>
  </si>
  <si>
    <t>Servicii catering</t>
  </si>
  <si>
    <t>55520000-1</t>
  </si>
  <si>
    <t>Servicii organizare evenimente (2 Loturi)</t>
  </si>
  <si>
    <t>79952000-2</t>
  </si>
  <si>
    <t>Servicii consultanță - experți pentru misiunile de verificări la fața locului</t>
  </si>
  <si>
    <t>72224000-1</t>
  </si>
  <si>
    <t>Furnizare echipamente IT, consumabile conexe și periferice IT, software și consumabile birotică și papetarie</t>
  </si>
  <si>
    <t>Acord cadru
Lot 1 - organizare vizite de studiu în afara țării (aprox.322,639 lei fără TVA)
Lot 2 - organizare evenimente în țară (aprox. 518,605 lei fără TVA).
Nu s-a transmis RN si CS</t>
  </si>
  <si>
    <t>48311000-1</t>
  </si>
  <si>
    <t>Echipamente și licente software pentru imbunatatirea sist.electronic de management al documentelor SIDOC (EDMS) -achiz 1 - lot 1 si 2</t>
  </si>
  <si>
    <t>Echipamente și licente software pentru imbunatatirea sist.electronic de management al documentelor SIDOC (EDMS) -achiz 2 - lot 3</t>
  </si>
  <si>
    <t xml:space="preserve">Servicii de audit extern </t>
  </si>
  <si>
    <t>79212000-3</t>
  </si>
  <si>
    <t>Tonere</t>
  </si>
  <si>
    <t>30125100-2</t>
  </si>
  <si>
    <t>Organizare conferință închidere proiect</t>
  </si>
  <si>
    <t xml:space="preserve">Servicii de consultanță pentru analiză privind activitatea consilierul de etică și avertizarea în interes public / de integritate și protecția avertizorului și elaborarea de mecanisme și/sau instrumente pentru maximizarea impactului consilierii etice și avertizării în interes public </t>
  </si>
  <si>
    <t>79420000-4</t>
  </si>
  <si>
    <r>
      <t xml:space="preserve">Echipamente FEDR  </t>
    </r>
    <r>
      <rPr>
        <sz val="12"/>
        <rFont val="Arial"/>
        <family val="2"/>
        <charset val="238"/>
      </rPr>
      <t>(IT pentru echipa de management și echipa de implementare): Laptop (12 buc.); Imprimată portabilă (2 buc.); Multfuncțională (2 buc.); Hard extern (1 buc=250 lei); Videoproiector (2 buc.); Distrugător (1 buc.); Flipchart (1 buc.).</t>
    </r>
  </si>
  <si>
    <t>30200000-1</t>
  </si>
  <si>
    <t>Kit promoțional pentru participanți (3620 buc.)</t>
  </si>
  <si>
    <t>79342200-5</t>
  </si>
  <si>
    <t>Servicii de organizare evenimente (conferința de deschidere proiect)</t>
  </si>
  <si>
    <t>79951000-5</t>
  </si>
  <si>
    <t>Servicii organizare evenimente (catering și închiriere sală) pentru derularea caravanelor</t>
  </si>
  <si>
    <t>Publicare anunțuri /comunicate de presă</t>
  </si>
  <si>
    <t>79341000-6</t>
  </si>
  <si>
    <t xml:space="preserve">Formare profesională </t>
  </si>
  <si>
    <t>55130000-0  80530000-8</t>
  </si>
  <si>
    <t>Materiale consumabile (papetărie și birotică) MFP</t>
  </si>
  <si>
    <t>30192700-8</t>
  </si>
  <si>
    <t>Achiziție autoturism (mijloc de transport) cu 5 locuri MFP</t>
  </si>
  <si>
    <t>34110000-1</t>
  </si>
  <si>
    <t>Combustibil auto</t>
  </si>
  <si>
    <t>09130000-9</t>
  </si>
  <si>
    <t>Servicii de audit financiar</t>
  </si>
  <si>
    <t>79212100-4</t>
  </si>
  <si>
    <t>Revizie periodică a autoturismului achiziționat</t>
  </si>
  <si>
    <t>50112200-5</t>
  </si>
  <si>
    <t xml:space="preserve">Servicii de asigurare contra accidentelor CASCO pentru autoturismul achiziționat </t>
  </si>
  <si>
    <t>66512100-3</t>
  </si>
  <si>
    <t xml:space="preserve">Servicii de asigurare de răspundere civilă obligatorie RCA contra pentru autoturismul achiziționat </t>
  </si>
  <si>
    <t>66516100-1</t>
  </si>
  <si>
    <t>Alt status</t>
  </si>
  <si>
    <t>Furnizare echipamente si software IT</t>
  </si>
  <si>
    <t>30213100-6</t>
  </si>
  <si>
    <t>Servicii organizare evenimente</t>
  </si>
  <si>
    <t>Materiale consumabile</t>
  </si>
  <si>
    <t>30199000-0</t>
  </si>
  <si>
    <t>AD Complexa PR</t>
  </si>
  <si>
    <t>AD simpla PR</t>
  </si>
  <si>
    <t>Exceptii L98</t>
  </si>
  <si>
    <t>Procedura proprie PR</t>
  </si>
  <si>
    <t>Procedura simplificata PR</t>
  </si>
  <si>
    <t>Licitatie deschisa PR</t>
  </si>
  <si>
    <t>19337,5</t>
  </si>
  <si>
    <t>A fost introdus inlocuitorul deoarece Carmen C este in CO</t>
  </si>
  <si>
    <t>Necesar reprogramare. Nu s-a semnat încă AA la CF</t>
  </si>
  <si>
    <t>Necesar reprogramare. Nu s-a primit CS</t>
  </si>
  <si>
    <t>Se va elimina</t>
  </si>
  <si>
    <t xml:space="preserve">Servicii organizare evenimente </t>
  </si>
  <si>
    <t>Servicii consultanță (audit)</t>
  </si>
  <si>
    <t>Consumabile (tonere, cilindri, piese de schimb)</t>
  </si>
  <si>
    <t>34913000-0</t>
  </si>
  <si>
    <t>Produse IT (multifuncțională color)</t>
  </si>
  <si>
    <t>30232110-8</t>
  </si>
  <si>
    <t>Lipsă caiet de sarcini/specificatii tehnice</t>
  </si>
  <si>
    <t>DGE</t>
  </si>
  <si>
    <t>Multifunctionale si videoproiector</t>
  </si>
  <si>
    <t>Piese de schimb şi reţelistică / periferice</t>
  </si>
  <si>
    <t>Servicii de inchiriere autoturism cu conducator auto</t>
  </si>
  <si>
    <t>60171000-7</t>
  </si>
  <si>
    <t>Achiziția ce are ca obiect "Realizarea unui sistem de management al documentelor din ACP incluzând servicii de dezvoltare și adaptare a aplicației informatice și soft comparare documente" a fost anulat conform AA3 la contractul de finantare. Achizitia de "servicii de inchiriere autoturism cu conducator auto" este o pozitie nou introdusa urmare a semnarii AA3 la contractul de finantare.</t>
  </si>
  <si>
    <t>Proiect ACP 5 SMIS 128054</t>
  </si>
  <si>
    <t>Materiale remedieri tamplarie</t>
  </si>
  <si>
    <t>Servicii de intretinere si reparatii ghilotina profesionala si masina de brosat</t>
  </si>
  <si>
    <t>Servicii de audit extern privind reevaluarea indeplinirii cerintelor pentru certificarea tehnica periodica (2021) solicitate de BNR si STFD Transfond SA</t>
  </si>
  <si>
    <t>Sublicenta ECDL</t>
  </si>
  <si>
    <t>BACNEANU Elena</t>
  </si>
  <si>
    <t>Servicii de organizare evenimente (seminarii pentru schimb de experienta si bune practici/vizite de studiu)</t>
  </si>
  <si>
    <t>Proiect ACP5</t>
  </si>
  <si>
    <t>Contract in derulare la ACP.</t>
  </si>
  <si>
    <t>Lipsa oferte</t>
  </si>
  <si>
    <t>Sum of Valoarea estimată  pentru 2020 lei fără TVA</t>
  </si>
  <si>
    <t>Sum of Valoarea estimată  pentru 2020 lei fără TVA2</t>
  </si>
  <si>
    <t>Trimestru</t>
  </si>
  <si>
    <t>Trim I</t>
  </si>
  <si>
    <t>Trim II</t>
  </si>
  <si>
    <t>Trim III</t>
  </si>
  <si>
    <t>Trim IV</t>
  </si>
  <si>
    <t>Trimestrializare</t>
  </si>
  <si>
    <t>Total Sum of Valoarea estimată  pentru 2020 lei fără TVA</t>
  </si>
  <si>
    <t>Total Sum of Valoarea estimată  pentru 2020 lei fără TVA2</t>
  </si>
  <si>
    <t>De verificat daca e pe 2 loturi</t>
  </si>
  <si>
    <t>Procent VA/VEA</t>
  </si>
  <si>
    <t>(blank)</t>
  </si>
  <si>
    <t>Servicii de publicitate</t>
  </si>
  <si>
    <t xml:space="preserve">ORDONATOR PRINCIPAL DE CREDITE </t>
  </si>
  <si>
    <t>Aparate de proiecţie</t>
  </si>
  <si>
    <t>Baterii</t>
  </si>
  <si>
    <t>Bufet de protocol</t>
  </si>
  <si>
    <t>Cartele de acces</t>
  </si>
  <si>
    <t>Construcții metalice</t>
  </si>
  <si>
    <t>Consumabile auto</t>
  </si>
  <si>
    <t>Cutii și consumabile pentru arhivare</t>
  </si>
  <si>
    <t>Echipamente de comunicații date</t>
  </si>
  <si>
    <t>Echipamente medicale</t>
  </si>
  <si>
    <t>Hidrogen, argon, gaze rare, azot şi oxigen</t>
  </si>
  <si>
    <t>Lămpi şi aparate de iluminat</t>
  </si>
  <si>
    <t>Materia si echipamente pentru preventie Covid-19</t>
  </si>
  <si>
    <t>Achizitii derulate în conformitate cu prevederile art.10 Anexa nr.1 la Decretul nr.195/16.03.2020.</t>
  </si>
  <si>
    <t>Materiale de lacatuserie</t>
  </si>
  <si>
    <t>Produse perisabile</t>
  </si>
  <si>
    <t>Proiect 68071/19.09.2018 - Echipamente IT</t>
  </si>
  <si>
    <t>Proiect finantat din fonduri nerabursabile prin intermediul Fondului de Asistență Tehnică finanțat din Mecanismele Financiare Spațiul Economic European (SEE) și Norvegian 2014-2021</t>
  </si>
  <si>
    <t>Proiect SIPOCA 449 - Anvelope</t>
  </si>
  <si>
    <t>Achizitie realizata în vederea implementării proiectului „Consolidarea integrității în instituțiile publice și în mediul de afaceri” finantat din fonduri nerambrusabile (cod SIPOCA 449, MySmiss 118813)</t>
  </si>
  <si>
    <t>Proiect SIPOCA 449 - Combustibil</t>
  </si>
  <si>
    <t>Publicatii Monitorul Oficial</t>
  </si>
  <si>
    <t>Diverse publicatii achizitionate de la ofertant unic Regia Autonoma Monitorul Oficial</t>
  </si>
  <si>
    <t>Serv de intretinere si reparatii echip multiplica</t>
  </si>
  <si>
    <t>Serv întreținere și reparații sist de supravegher</t>
  </si>
  <si>
    <t>Serv de intretinere si reparatii aparate telefon</t>
  </si>
  <si>
    <t>Serv intretinere si reparatii sist control acces</t>
  </si>
  <si>
    <t>Serv reparatii sisteme bariere</t>
  </si>
  <si>
    <t>Servicii de asigurare auto</t>
  </si>
  <si>
    <t>Servicii de audit solicitate de BNR si STFD Transf</t>
  </si>
  <si>
    <t>Servicii de intretinere si reparatii grupuri</t>
  </si>
  <si>
    <t>Servicii de intretinere si reparatii grupuri generatoare</t>
  </si>
  <si>
    <t>Servicii de intretinere si reparatii usi glisante</t>
  </si>
  <si>
    <t>Servicii de vulcanizare si roluire</t>
  </si>
  <si>
    <t>Sisteme de operare</t>
  </si>
  <si>
    <t>Solutii pt intretinerea suprafetelor de miscare</t>
  </si>
  <si>
    <t>Studii de fezabilitate acustic</t>
  </si>
  <si>
    <t>Telefoane</t>
  </si>
  <si>
    <t>Viniete de automobile</t>
  </si>
  <si>
    <t>Vopsele si accesorii</t>
  </si>
  <si>
    <t>Ștampile si placute</t>
  </si>
  <si>
    <t>Necesitate</t>
  </si>
  <si>
    <t>Descriere</t>
  </si>
  <si>
    <t>Certificate digitale</t>
  </si>
  <si>
    <t>Computere portabile</t>
  </si>
  <si>
    <t>Servicii verificare tehnica instalatie gaze</t>
  </si>
  <si>
    <t>Servicii de expertiza tehnica judiciara</t>
  </si>
  <si>
    <t>Echipamente de retea</t>
  </si>
  <si>
    <t>Materiale pentru izolare fonica</t>
  </si>
  <si>
    <t>Servicii de curierat</t>
  </si>
  <si>
    <t>Servicii de analize medicale</t>
  </si>
  <si>
    <t xml:space="preserve">Servicii de dezvoltare de software pentru copii de siguranță (backup) sau recuperare </t>
  </si>
  <si>
    <t>Servicii de expertiza</t>
  </si>
  <si>
    <t>Piese pentru echipamentele de climatizare</t>
  </si>
  <si>
    <t>Ventilatoare si aparate de aer conditionat</t>
  </si>
  <si>
    <t>Servicii de fotografie si servicii conexe</t>
  </si>
  <si>
    <t>Servicii de audit</t>
  </si>
  <si>
    <t>Cititoare magnetice sau optice</t>
  </si>
  <si>
    <t>Servicii de tiparire si de livrare</t>
  </si>
  <si>
    <t>Reparare si intretinere centrale termice</t>
  </si>
  <si>
    <t>NECESAR CREDITE BUGETARE 2021</t>
  </si>
  <si>
    <t>NECESAR CREDITE ANGAJAMENT 2021</t>
  </si>
  <si>
    <t xml:space="preserve">Valoarea estimată  pentru 2021 lei fără TVA </t>
  </si>
  <si>
    <t>Tip ctr</t>
  </si>
  <si>
    <t>AC</t>
  </si>
  <si>
    <t>Program multianual 1950</t>
  </si>
  <si>
    <t>CAP</t>
  </si>
  <si>
    <t>DGTDP</t>
  </si>
  <si>
    <t>SIC</t>
  </si>
  <si>
    <t>SFPV</t>
  </si>
  <si>
    <t>În validare MF/ANAP</t>
  </si>
  <si>
    <t>Valoare angaj cu TVA</t>
  </si>
  <si>
    <t>Val estimată fără TVA</t>
  </si>
  <si>
    <t>Valoare angajată cu TVA</t>
  </si>
  <si>
    <t>Valoare estimată 
- lei fără TVA -</t>
  </si>
  <si>
    <t>Director general  adjunct</t>
  </si>
  <si>
    <t xml:space="preserve">Director general </t>
  </si>
  <si>
    <t>09123000-7</t>
  </si>
  <si>
    <t>15860000-4</t>
  </si>
  <si>
    <t>Produse protocol cabinet ministru</t>
  </si>
  <si>
    <t>15800000-6</t>
  </si>
  <si>
    <t>CREȚU ANCA GABRIELA</t>
  </si>
  <si>
    <t>HORIA ILEANA ALINA</t>
  </si>
  <si>
    <t>TEODORESCU MARGARETA</t>
  </si>
  <si>
    <t>CIPERE ANDREI BOGDAN</t>
  </si>
  <si>
    <t>RĂCESCU ROMINA</t>
  </si>
  <si>
    <t>NEDELOIU MARILENA</t>
  </si>
  <si>
    <t>MARIUS-LEON TĂNASIE</t>
  </si>
  <si>
    <t>Furnizare gaze naturale</t>
  </si>
  <si>
    <t>Lăcrămioara ALEXANDRU</t>
  </si>
  <si>
    <t>Valoare planif cu TVA - 2023</t>
  </si>
  <si>
    <t xml:space="preserve">NR. </t>
  </si>
  <si>
    <t>Director general</t>
  </si>
  <si>
    <t>Cornelia NAGY</t>
  </si>
  <si>
    <t>ELENA BĂCNEANU</t>
  </si>
  <si>
    <r>
      <t xml:space="preserve">Contracte / Acorduri-cadru pentru care se vor aplica proceduri de atribuire 
ce se vor iniția în cursul anului, cu plata </t>
    </r>
    <r>
      <rPr>
        <b/>
        <u/>
        <sz val="28"/>
        <rFont val="Trebuchet MS"/>
        <family val="2"/>
      </rPr>
      <t>din fonduri bugetare</t>
    </r>
    <r>
      <rPr>
        <b/>
        <sz val="28"/>
        <rFont val="Trebuchet MS"/>
        <family val="2"/>
      </rPr>
      <t xml:space="preserve">
</t>
    </r>
  </si>
  <si>
    <t>PETRONEL MUNTEANU</t>
  </si>
  <si>
    <t>ȘERBAN CRISTINA-MARILENA</t>
  </si>
  <si>
    <t>FLORINA RADU</t>
  </si>
  <si>
    <t>2024_A1_001</t>
  </si>
  <si>
    <t xml:space="preserve">	Stabilizator pentru aparat foto</t>
  </si>
  <si>
    <t>35820000-8</t>
  </si>
  <si>
    <t>15.02.2024</t>
  </si>
  <si>
    <t>15.03.2024</t>
  </si>
  <si>
    <t>2024_A1_002</t>
  </si>
  <si>
    <t>30.08.2024</t>
  </si>
  <si>
    <t>30.09.2024</t>
  </si>
  <si>
    <t xml:space="preserve">2024_A1_003	</t>
  </si>
  <si>
    <t>03.01.2024</t>
  </si>
  <si>
    <t>2024_A1_004</t>
  </si>
  <si>
    <t>Produse pentru bufetul de protocol</t>
  </si>
  <si>
    <t>2024_A1_005</t>
  </si>
  <si>
    <t>Aspirator fără sac</t>
  </si>
  <si>
    <t>39713430-6</t>
  </si>
  <si>
    <t>29.01.2024</t>
  </si>
  <si>
    <t>29.02.2024</t>
  </si>
  <si>
    <t>vacant</t>
  </si>
  <si>
    <t>Marius-Leon TĂNASIE</t>
  </si>
  <si>
    <t>2023_PAAP_013</t>
  </si>
  <si>
    <t>Servicii de acceptare a plăților de impozite, taxe, contribuții și alte sume cuvenite bugetului general consolidat, efectuate cu carduri de plată în sistem on line prin intermediul SNEP</t>
  </si>
  <si>
    <t>66172000-6</t>
  </si>
  <si>
    <t>Valoare planificată cu TVA - 2024</t>
  </si>
  <si>
    <t>SECRETAR DE STAT,
MIHAI DIACONU</t>
  </si>
  <si>
    <t>2023_PAAP_015</t>
  </si>
  <si>
    <t>Servicii de interpretariat consecutiv, servicii interpretariat simultan și traduceri autorizate (retroversiuni)</t>
  </si>
  <si>
    <t>79540000-1</t>
  </si>
  <si>
    <t>2023_PAAP_016</t>
  </si>
  <si>
    <t>Servicii de curățenie interioară și exterioară pentru sediile Ministerului Finanțelor</t>
  </si>
  <si>
    <t>90900000-6</t>
  </si>
  <si>
    <t>2023_PAAP_017</t>
  </si>
  <si>
    <t>Lucrări de instalare de ascensoare</t>
  </si>
  <si>
    <t>45313100-5</t>
  </si>
  <si>
    <t>2023_PAAP_018</t>
  </si>
  <si>
    <t>Servicii de întreținere și reparații aparate de aer condiționat amplasate în sediile MF</t>
  </si>
  <si>
    <t>50000000-5</t>
  </si>
  <si>
    <t xml:space="preserve">Procedură de achiziție inițiată în anul 2023. </t>
  </si>
  <si>
    <t>Procedură de achiziție inițiată în anul 2023. Modificat status și data inceput ca urmare a publicării anunțului de participare în SEAP.</t>
  </si>
  <si>
    <t>2024_A1_006</t>
  </si>
  <si>
    <t xml:space="preserve">Coperți personalizate pentru dosare </t>
  </si>
  <si>
    <t>22852100-8</t>
  </si>
  <si>
    <t>2024_A1_007</t>
  </si>
  <si>
    <t>Rafturi metalice pentru arhivare</t>
  </si>
  <si>
    <t>39152000-2</t>
  </si>
  <si>
    <t>2024_A1_008</t>
  </si>
  <si>
    <t>Borderouri de poștă tip B și C</t>
  </si>
  <si>
    <t>22800000-8</t>
  </si>
  <si>
    <t>2024_A1_009</t>
  </si>
  <si>
    <t xml:space="preserve">Imprimate tipizate - fișe de aptitudine pentru cabinetul medical </t>
  </si>
  <si>
    <t>22820000-4</t>
  </si>
  <si>
    <t>2024_A1_010</t>
  </si>
  <si>
    <t>Tensiometru automat digital de braț cu manșetă și accesorii</t>
  </si>
  <si>
    <t>38412000-6</t>
  </si>
  <si>
    <t>2024_A1_011</t>
  </si>
  <si>
    <t>Servicii de determinare/măsurare a factorilor nocivi pentru sănătatea și/sau capacitatea de muncă a salariaților MF</t>
  </si>
  <si>
    <t>90743100-8</t>
  </si>
  <si>
    <t>2024_A1_012</t>
  </si>
  <si>
    <t>Materiale sanitare și materiale pentru igiena și protecție pentru cabinetul medical de medicina muncii</t>
  </si>
  <si>
    <t>33700000-7</t>
  </si>
  <si>
    <t>2024_A1_013</t>
  </si>
  <si>
    <t>Mape oficiale</t>
  </si>
  <si>
    <t>30199500-5</t>
  </si>
  <si>
    <t>2024_A1_014</t>
  </si>
  <si>
    <t>Expertiză tehnică pentru instalațiile și echipamentele existente în punctul termic, stația hidrofor, stația ape uzate, stația de incendiu, revizia metrologică a recipienților sub presiune, schimbătoare de căldură și aparatură de măsurat, precum și pentru instalațiile sanitare existente în clădirea sediului MF din B-dul
Libertății nr. 16, sector 5 București</t>
  </si>
  <si>
    <t>71319000-7</t>
  </si>
  <si>
    <t>2024_A1_015</t>
  </si>
  <si>
    <t>Materiale de tâmplărie</t>
  </si>
  <si>
    <t>44230000-1</t>
  </si>
  <si>
    <t>2024_A1_016</t>
  </si>
  <si>
    <t>Materiale de igienizare</t>
  </si>
  <si>
    <t>44800000-8</t>
  </si>
  <si>
    <t>2024_A1_017</t>
  </si>
  <si>
    <t>Echipamente pentru manipularea, transportul și ridicarea marfurilor</t>
  </si>
  <si>
    <t>42400000-0</t>
  </si>
  <si>
    <t>2024_A1_018</t>
  </si>
  <si>
    <t>Materiale și obiecte sanitare</t>
  </si>
  <si>
    <t>44115200-1</t>
  </si>
  <si>
    <t>2024_A1_019</t>
  </si>
  <si>
    <t>Hârtie de uz personal</t>
  </si>
  <si>
    <t>33760000-5</t>
  </si>
  <si>
    <t>2024_A1_020</t>
  </si>
  <si>
    <t xml:space="preserve">Etichete Zebra și Ribon Zebra </t>
  </si>
  <si>
    <t>30192800-9</t>
  </si>
  <si>
    <t>2024_A1_021</t>
  </si>
  <si>
    <t>Scule și materiale lăcătușerie</t>
  </si>
  <si>
    <t>44316500-3</t>
  </si>
  <si>
    <t>2024_A1_022</t>
  </si>
  <si>
    <t>Scule, unelte, dispozitive și accesorii pentru atelierul electric</t>
  </si>
  <si>
    <t>43830000-0</t>
  </si>
  <si>
    <t>2024_A1_023</t>
  </si>
  <si>
    <t>Scule, unelte, dispozitive și accesorii pentru echipa de instalatori</t>
  </si>
  <si>
    <t>2024_A1_024</t>
  </si>
  <si>
    <t>Tonere tip Ribon HID FARGO C50 Color, 250 printuri</t>
  </si>
  <si>
    <t>2024_A1_025</t>
  </si>
  <si>
    <t>Sublicențe ECDL</t>
  </si>
  <si>
    <t>48218000-9</t>
  </si>
  <si>
    <t>2023_A2_003</t>
  </si>
  <si>
    <t xml:space="preserve">ORDONATOR PRINCIPAL DE CREDITE
PETRONEL MUNTEANU </t>
  </si>
  <si>
    <t>AVIZEZ,
SECRETAR DE STAT,
MIHAI DIACONU</t>
  </si>
  <si>
    <t>AVIZEZ,</t>
  </si>
  <si>
    <t>Servicii de reprezentare juridică în litigii arbitrale investiționale care se judecă potrivit regulilor UNCITRAL</t>
  </si>
  <si>
    <t>79100000-5</t>
  </si>
  <si>
    <t>Excepție Legea 98/2016</t>
  </si>
  <si>
    <t>2023_A2_004</t>
  </si>
  <si>
    <t>Servicii de reprezentare juridică în litigii arbitrale investiționale care se judecă potrivit regulilor CIRDI</t>
  </si>
  <si>
    <t>79995100-6</t>
  </si>
  <si>
    <t>2024_A2_001</t>
  </si>
  <si>
    <t>Servicii de prelucrare arhivă, respectiv constituire a unităţilor arhivistice - dosare (fondare, ordonare, numerotare, legare, opisare, inventariere)</t>
  </si>
  <si>
    <t>2024_A2_002</t>
  </si>
  <si>
    <t>Servicii de consultanță juridică pentru încheierea de acorduri tip ISDA Master Derivative Agreement</t>
  </si>
  <si>
    <t>79110000-8</t>
  </si>
  <si>
    <t>Poziție introdusă ca urmare a aprobării DDF - RN nr. 422151/17.11.2023</t>
  </si>
  <si>
    <t>Poziție introdusă ca urmare a aprobării documentului de fundamentare - referat de necesitate nr. 386992 revizuirea
0/28.11.2023</t>
  </si>
  <si>
    <t>2024_A2_003</t>
  </si>
  <si>
    <t>Servicii de închiriere a unei săli tip amfiteatru</t>
  </si>
  <si>
    <t>70310000-7</t>
  </si>
  <si>
    <t>Poziție introdusă ca urmare a aprobării documentului de fundamentare - referat de necesitate nr. 398928 revizuirea 0/11.12.2023</t>
  </si>
  <si>
    <t>2024_A2_004</t>
  </si>
  <si>
    <t>Servicii de asistență și reprezentare juridică pentru apărarea intereselor României în orice demers inițiat de (i) beneficiarii hotărârilor arbitrale pronunțate de Curtea de Arbritaj Internațional de pe lângă Centrul Internațional pentru Reglementarea Direfendelor relative la Investiții sau (ii) beneficiarii hotărârilor arbitrale pronunțate de un Tribunal arbitral constituit conform regulilor UNCITRAL</t>
  </si>
  <si>
    <t>Poziție introdusă ca urmare a aprobării documentului de fundamentare - referat de necesitate nr. 319987 revizuirea
0/15.12.2023</t>
  </si>
  <si>
    <t>Procedură de achiziție inițiată în anul 2023. 
Modificare status, modificare dată început și dată finalizare.</t>
  </si>
  <si>
    <t>2024_A1_026</t>
  </si>
  <si>
    <t>Materiale și piese pentru întreținerea și reparația instalației electrice și corpuri de iluminat LED</t>
  </si>
  <si>
    <t>31680000-6</t>
  </si>
  <si>
    <t>15.07.2024</t>
  </si>
  <si>
    <t>PROGRAMUL ANUAL AL ACHIZIȚIILOR PUBLICE AL MINISTERULUI FINANȚELOR - APARAT CENTRAL - PENTRU ANUL 2024  - Forma inițială elaborată in conformitate cu art. 12 alin. (2) din HG 395/2016</t>
  </si>
  <si>
    <t>2023_PAAP_005</t>
  </si>
  <si>
    <t>Servicii de mentenanță a sistemelor informatice de interoperabilitate în domeniul fiscal</t>
  </si>
  <si>
    <t>72262000-9</t>
  </si>
  <si>
    <t>15.11.2023</t>
  </si>
  <si>
    <t>15.04.2024</t>
  </si>
  <si>
    <t xml:space="preserve">Andrei-Bogdan Cipere	</t>
  </si>
  <si>
    <t>2023_PAAP_012</t>
  </si>
  <si>
    <t>Servicii de mentenanta (intretinere si reparatii sistem de incalzire, sisteme de curenti tari, sistem de alimentare cu apa si lucrari de mica complexitate) pentru sediul CNIF din Poenaru Bordea și sediul din Mircea Vodă</t>
  </si>
  <si>
    <t>98341130-5</t>
  </si>
  <si>
    <t>Romina-Maria Răcescu</t>
  </si>
  <si>
    <t>Procedură de achiziție inițiată în anul 2023.</t>
  </si>
  <si>
    <t xml:space="preserve">PROGRAMUL ANUAL AL ACHIZIȚIILOR PUBLICE AL MINISTERULUI FINANȚELOR - APARAT CENTRAL - PENTRU ANUL 2024  - </t>
  </si>
  <si>
    <t>2023_PAAP_014</t>
  </si>
  <si>
    <t>Servicii de întreținere, migrare și asistență tehnică software si hardware pentru platforma de acces, control și securitate F5 Networks</t>
  </si>
  <si>
    <t>72611000-6</t>
  </si>
  <si>
    <t>15.12.2023</t>
  </si>
  <si>
    <t>15.05.2024</t>
  </si>
  <si>
    <t>Procedură de achiziție inițiată în anul 2023.
Modificare status, data început/finalizare, responsabil achiziție</t>
  </si>
  <si>
    <t>Transmis ANAP</t>
  </si>
  <si>
    <t xml:space="preserve">Procedură de achiziție cuprinsă în PAAP-ul anului 2023. </t>
  </si>
  <si>
    <t>20.12.2023</t>
  </si>
  <si>
    <t>31.05.2024</t>
  </si>
  <si>
    <t>Procedură de achiziție inițiată în anul 2023. 
Modificare status, data de început/finalizare, responsabil achiziție</t>
  </si>
  <si>
    <t xml:space="preserve">PROGRAMUL ANUAL AL ACHIZIȚIILOR PUBLICE AL MINISTERULUI FINANȚELOR - APARAT CENTRAL - PENTRU ANUL 2024 </t>
  </si>
  <si>
    <t>2024_A1_027</t>
  </si>
  <si>
    <t>31.01.2023</t>
  </si>
  <si>
    <t>2024_A1_028</t>
  </si>
  <si>
    <t>Polită obligatorie RCA</t>
  </si>
  <si>
    <t>66510000-8</t>
  </si>
  <si>
    <t>09.01.2024</t>
  </si>
  <si>
    <t>08.01.2024</t>
  </si>
  <si>
    <t>19.01.2024</t>
  </si>
  <si>
    <t>2024_A1_029</t>
  </si>
  <si>
    <t>Echipamente pentru curățenie</t>
  </si>
  <si>
    <t>01.03.2024</t>
  </si>
  <si>
    <t>29.03.2024</t>
  </si>
  <si>
    <t>Servicii de expertiză judiciară: 
Lot 1- specializarea evaluare valori mobiliare;
Lot 2 - specializarea fiscalitate</t>
  </si>
  <si>
    <t>2024_A1_030</t>
  </si>
  <si>
    <t>Servicii de spălare și curățare autovehicule</t>
  </si>
  <si>
    <t>50112300-6</t>
  </si>
  <si>
    <t>16.01.2023</t>
  </si>
  <si>
    <t>16.02.2023</t>
  </si>
  <si>
    <t>Achiziție finalizată</t>
  </si>
  <si>
    <t>2024_A1_031</t>
  </si>
  <si>
    <t>Cameră de bord autoturism</t>
  </si>
  <si>
    <t>32333000-6</t>
  </si>
  <si>
    <t>23.01.2024</t>
  </si>
  <si>
    <t>09.02.2024</t>
  </si>
  <si>
    <t>2024_A1_032</t>
  </si>
  <si>
    <t>Rovignete</t>
  </si>
  <si>
    <t>22453000-0</t>
  </si>
  <si>
    <t>30.01.2024</t>
  </si>
  <si>
    <t>2024_A1_033</t>
  </si>
  <si>
    <t>Ștampile și o plăcuță de identificare</t>
  </si>
  <si>
    <t>30192153-8</t>
  </si>
  <si>
    <t>23.02.2024</t>
  </si>
  <si>
    <t>2024_A1_034</t>
  </si>
  <si>
    <t>2024_A1_035</t>
  </si>
  <si>
    <t>Ştampile cu text</t>
  </si>
  <si>
    <t>01.02.2024</t>
  </si>
  <si>
    <t>28.02.2024</t>
  </si>
  <si>
    <t>Lot 2  - Soluție digitală pentru videoconferință</t>
  </si>
  <si>
    <t>2024_A1_036</t>
  </si>
  <si>
    <t>2024_A1_037</t>
  </si>
  <si>
    <t>2024_A1_038</t>
  </si>
  <si>
    <t>Poliță obligatorie RCA și patru polițe full CASCO</t>
  </si>
  <si>
    <t>02.02.2024</t>
  </si>
  <si>
    <t>Servicii de evaluare independentă externă a infrastructurii de plăți interbancare a Ministerului Finanțelor pentru verificarea de securitate impusă de SWIFT prin Customer Security Programme (CSP) și servicii de audit extern, cu auditori certificați CISA, privind reevaluarea îndeplinirii cerințelor pentru certificarea periodică (2024) solicitate de BNR  și STFD TransFond SA, aferente platformei de decontare a MF în relație cu sistemele ReGIS, SaFIR, SENT</t>
  </si>
  <si>
    <t>08.02.2024</t>
  </si>
  <si>
    <t>08.03.2024</t>
  </si>
  <si>
    <t>48515000-1</t>
  </si>
  <si>
    <t>72810000-1</t>
  </si>
  <si>
    <t>Valoare planif cu TVA - 2024</t>
  </si>
  <si>
    <t>2024_A1_039</t>
  </si>
  <si>
    <t>Produse protcol</t>
  </si>
  <si>
    <t>15981200-0</t>
  </si>
  <si>
    <t>07.02.2024</t>
  </si>
  <si>
    <t>2024_A1_040</t>
  </si>
  <si>
    <t>15861000-1</t>
  </si>
  <si>
    <t>26.02.2024</t>
  </si>
  <si>
    <t>Cafea arabică cu cofeină pentru bufetul de protocol</t>
  </si>
  <si>
    <t>2024_A1_041</t>
  </si>
  <si>
    <t>Servicii de expertiză juduciară specialitatea contabilitate - fiscalitate în cauza nr. 2513/2/2023 - IT UTIL DESIGN SRL</t>
  </si>
  <si>
    <t>31.03.2024</t>
  </si>
  <si>
    <t>2024_A1_042</t>
  </si>
  <si>
    <t xml:space="preserve">Servicii publicare anunt de recrutare </t>
  </si>
  <si>
    <t>11.03.2024</t>
  </si>
  <si>
    <t>2024_A1_043</t>
  </si>
  <si>
    <t>Obiectiv pentru aparat foto, căști audio și accesorii</t>
  </si>
  <si>
    <t>32342100-3</t>
  </si>
  <si>
    <t>18.03.2024</t>
  </si>
  <si>
    <t>25.03.2024</t>
  </si>
  <si>
    <t>2024_A1_044</t>
  </si>
  <si>
    <t>Scule și materiale de lăcătușerie</t>
  </si>
  <si>
    <t>44500000-5</t>
  </si>
  <si>
    <t>13.03.2024</t>
  </si>
  <si>
    <t>30.04.2024</t>
  </si>
  <si>
    <t>2024_A1_045</t>
  </si>
  <si>
    <t>O poliță obligatorie RCA și 8 polițe full CASCO</t>
  </si>
  <si>
    <t>14.03.2024</t>
  </si>
  <si>
    <t>Licență Zoom PRO</t>
  </si>
  <si>
    <t>27.03.2024</t>
  </si>
  <si>
    <t>06.03.2024</t>
  </si>
  <si>
    <t xml:space="preserve">Servicii de întreținere și reparații uși glisante automate duble </t>
  </si>
  <si>
    <t>2024_A1_046</t>
  </si>
  <si>
    <t>08.04.2024</t>
  </si>
  <si>
    <t>07.05.2024</t>
  </si>
  <si>
    <t>2024_A1_047</t>
  </si>
  <si>
    <t>2024_A1_048</t>
  </si>
  <si>
    <t>2024_A1_049</t>
  </si>
  <si>
    <t>Servicii de expertiză contabilitate</t>
  </si>
  <si>
    <t>05.04.2024</t>
  </si>
  <si>
    <t>26.04.2024</t>
  </si>
  <si>
    <t>Servicii elaborare documentatie cadastrala de actualizare date imobil</t>
  </si>
  <si>
    <t>71354300-7</t>
  </si>
  <si>
    <t>Hârtie A4 și hârtie A3</t>
  </si>
  <si>
    <t>30197642-8</t>
  </si>
  <si>
    <t>10.04.2024</t>
  </si>
  <si>
    <t>24.05.2024</t>
  </si>
  <si>
    <t>2024_A1_050</t>
  </si>
  <si>
    <t>2024_A1_051</t>
  </si>
  <si>
    <t>2024_A1_052</t>
  </si>
  <si>
    <t>Cutii arhivare</t>
  </si>
  <si>
    <t>30193700-5</t>
  </si>
  <si>
    <t>12.04.2024</t>
  </si>
  <si>
    <t>17.05.2024</t>
  </si>
  <si>
    <t>Servicii de verificare tehnică a instalației de utilizare a gazelor naturale și coșerit</t>
  </si>
  <si>
    <t>71356100-9</t>
  </si>
  <si>
    <t>01.05.2024</t>
  </si>
  <si>
    <t>Abonamente parcare</t>
  </si>
  <si>
    <t>63712400-7</t>
  </si>
  <si>
    <t>2024_A1_053</t>
  </si>
  <si>
    <t>Certificat TLS sistem CESOP</t>
  </si>
  <si>
    <t>19.04.2024</t>
  </si>
  <si>
    <t>2024_A1_054</t>
  </si>
  <si>
    <t>Ștampilă rotundă</t>
  </si>
  <si>
    <t>2024_A1_055</t>
  </si>
  <si>
    <t>Servicii recuperare date hard disk</t>
  </si>
  <si>
    <t>72251000-9</t>
  </si>
  <si>
    <t>2024_A1_056</t>
  </si>
  <si>
    <t>Poliță obligatorie RCA și poliță facultativă CASCO</t>
  </si>
  <si>
    <t>16.05.2024</t>
  </si>
  <si>
    <t>Achiziție anulată</t>
  </si>
  <si>
    <t>2024_A1_057</t>
  </si>
  <si>
    <t>Servicii de întreținere și reparații la sistemele de control acces și pontaj amplasate în sediile Ministerului Finanțelor din B-dul Libertății nr.16, B-dul Libertății nr.14 și Str. Colonel Poenaru Bordea nr. 3-5</t>
  </si>
  <si>
    <t>14.06.2024</t>
  </si>
  <si>
    <t>2024_A1_058</t>
  </si>
  <si>
    <t>Servicii de telefonie mobilă</t>
  </si>
  <si>
    <t>64212000-5</t>
  </si>
  <si>
    <t>10.05.2024</t>
  </si>
  <si>
    <t>Altă situație</t>
  </si>
  <si>
    <t>2024_A1_059</t>
  </si>
  <si>
    <t>Routere wirless</t>
  </si>
  <si>
    <t>32413100-2</t>
  </si>
  <si>
    <t>07.06.2024</t>
  </si>
  <si>
    <t>LAVINIA VASILE</t>
  </si>
  <si>
    <t>2024_A1_060</t>
  </si>
  <si>
    <t>Servicii, piese de schimb și materiale pentru revizia și reparația aparatelor de aer condiționat din spațiile tehnice ale Centrului de Date Secundar</t>
  </si>
  <si>
    <t>50730000-1</t>
  </si>
  <si>
    <t>20.05.2024</t>
  </si>
  <si>
    <t>2024_A1_061</t>
  </si>
  <si>
    <t>Accesorii retea de date și voce</t>
  </si>
  <si>
    <t>32520000-4</t>
  </si>
  <si>
    <t>21.06.2024</t>
  </si>
  <si>
    <t>DOANĂ GABRIEL</t>
  </si>
  <si>
    <t>2024_A1_062</t>
  </si>
  <si>
    <t>2024_A1_063</t>
  </si>
  <si>
    <t xml:space="preserve">Săpun lichid </t>
  </si>
  <si>
    <t>33711900-6</t>
  </si>
  <si>
    <t>10.06.2024</t>
  </si>
  <si>
    <t>Bonuri de consum autocopiative</t>
  </si>
  <si>
    <t>2024_A1_064</t>
  </si>
  <si>
    <t>Anvelope de vara cu montaj inclus</t>
  </si>
  <si>
    <t>34351100-3</t>
  </si>
  <si>
    <t>2024_A1_065</t>
  </si>
  <si>
    <t>2024_A1_066</t>
  </si>
  <si>
    <t>Servicii de mesagerie de tip SMS</t>
  </si>
  <si>
    <t>64212100-6</t>
  </si>
  <si>
    <t>28.06.2024</t>
  </si>
  <si>
    <t>Lot 1 - Servicii de întreținere curentă/mentenanță pentru echipamentul electrostivuitor Balkancar, tip ER634.30.2x2
Lot 2 - Servicii RSVTI pentru echipamentul electrostivuitor Balkancar, tip ER634.30.2x2</t>
  </si>
  <si>
    <t>50800000-3
71631000-0</t>
  </si>
  <si>
    <t>03.06.2024</t>
  </si>
  <si>
    <t>2024_A1_067</t>
  </si>
  <si>
    <t>2024_A1_068</t>
  </si>
  <si>
    <t>Servicii de verificare tehnică în utilizare, după expertizare, în vederea autorizării funcționării echipamentului electrostivuitor Balkancar, tip ER634.30.2x2</t>
  </si>
  <si>
    <t>17.06.2024</t>
  </si>
  <si>
    <t>19.07.2024</t>
  </si>
  <si>
    <t>Servicii de întreținere, revizie, reparare și/sau îmbunătățire a echipamentelor de: avertizare efracție, avertizare incendiu - desfumare, supraveghere video - TVCI, telefonie, rețele de transmisie date - voce și acces incintă, pentru UIR</t>
  </si>
  <si>
    <t>50610000-4</t>
  </si>
  <si>
    <t>12.07.2024</t>
  </si>
  <si>
    <t>2024_A1_069</t>
  </si>
  <si>
    <t>Polițe facultative CASCO</t>
  </si>
  <si>
    <t>2024_A1_070</t>
  </si>
  <si>
    <t>Servicii de mutare mobilier, echipamente, inclusiv servicii de transport</t>
  </si>
  <si>
    <t>63110000-3</t>
  </si>
  <si>
    <t>2024_A1_071</t>
  </si>
  <si>
    <t>Servicii de expertiză judiciară în specialitatea fiscalitate</t>
  </si>
  <si>
    <t>2024_A1_072</t>
  </si>
  <si>
    <t>Plăcuțe de identificare vizuală</t>
  </si>
  <si>
    <t>44423450-0</t>
  </si>
  <si>
    <t>19.06.2024</t>
  </si>
  <si>
    <t>2024_A1_073</t>
  </si>
  <si>
    <t>Acumulator laptop</t>
  </si>
  <si>
    <t>31430000-9</t>
  </si>
  <si>
    <t>24.06.2024</t>
  </si>
  <si>
    <t>2024_A1_074</t>
  </si>
  <si>
    <t>Lucrări revizie și reparații punct termic</t>
  </si>
  <si>
    <t>45232141-2</t>
  </si>
  <si>
    <t>10.07.2024</t>
  </si>
  <si>
    <t>09.08.2024</t>
  </si>
  <si>
    <t>Achiziție finalizată lot 2</t>
  </si>
  <si>
    <t>2024_A1_075</t>
  </si>
  <si>
    <t>Ștampile</t>
  </si>
  <si>
    <t>31.07.2024</t>
  </si>
  <si>
    <t>2024_A1_076</t>
  </si>
  <si>
    <t>Polițe obligatorii RCA</t>
  </si>
  <si>
    <t>29.07.2024</t>
  </si>
  <si>
    <t>2024_A1_077</t>
  </si>
  <si>
    <t>2024_A1_078</t>
  </si>
  <si>
    <t>Servicii de proiectare și execuție lucrări pentru realizarea reactivării postului de transformare PT 266  amplasat în subsolul Institutului Național de Statistică</t>
  </si>
  <si>
    <t>45317300-5</t>
  </si>
  <si>
    <t>24.07.2024</t>
  </si>
  <si>
    <t>29.08.2024</t>
  </si>
  <si>
    <t>Servicii de manipulare, încărcare și transport mobilier</t>
  </si>
  <si>
    <t>2024_A1_079</t>
  </si>
  <si>
    <t>22.07.2024</t>
  </si>
  <si>
    <t>2024_A1_080</t>
  </si>
  <si>
    <t>Abonament parcare</t>
  </si>
  <si>
    <t>26.07.2024</t>
  </si>
  <si>
    <t>2024_A1_081</t>
  </si>
  <si>
    <t>Kit-uri role pentru echipamente Epson DS-6500 și Epson DS-70000</t>
  </si>
  <si>
    <t>30125000-1</t>
  </si>
  <si>
    <t>05.08.2024</t>
  </si>
  <si>
    <t>2024_A1_082</t>
  </si>
  <si>
    <t>23.08.2024</t>
  </si>
  <si>
    <t>2024_A1_083</t>
  </si>
  <si>
    <t>2024_A1_084</t>
  </si>
  <si>
    <t>Poliță facultativă CASCO</t>
  </si>
  <si>
    <t>2024_A1_085</t>
  </si>
  <si>
    <t>Materiale pentru amenajare și igienizare</t>
  </si>
  <si>
    <t>44411000-4</t>
  </si>
  <si>
    <t>2024_A1_086</t>
  </si>
  <si>
    <t>2024_A1_087</t>
  </si>
  <si>
    <t>2024_A1_088</t>
  </si>
  <si>
    <t>Sistem de videoconferință - videoproiector, cameră web, trepied</t>
  </si>
  <si>
    <t>32333300-9</t>
  </si>
  <si>
    <t>2024_A1_089</t>
  </si>
  <si>
    <t>27.09.2024</t>
  </si>
  <si>
    <t>2024_A1_090</t>
  </si>
  <si>
    <t>2024_A1_091</t>
  </si>
  <si>
    <t>Servicii furnizare, instalare și actualizare a unui produs informatic legislativ on-line</t>
  </si>
  <si>
    <t>75111200-9</t>
  </si>
  <si>
    <t>09.09.2024</t>
  </si>
  <si>
    <t>31.10.2024</t>
  </si>
  <si>
    <t>Kit semnătură electronică și reînnoire certificate semnătură electronică în cadrul sistemului SIRBNR SD</t>
  </si>
  <si>
    <t>2024_A1_092</t>
  </si>
  <si>
    <t>Ștampilă</t>
  </si>
  <si>
    <t>20.09.2024</t>
  </si>
  <si>
    <t>2024_A1_093</t>
  </si>
  <si>
    <t>2024_A1_094</t>
  </si>
  <si>
    <t>03.09.2024</t>
  </si>
  <si>
    <t>Consumabile și multifuncționale pentru echipamenet Xerox AltalLink C8155</t>
  </si>
  <si>
    <t>05.09.2024</t>
  </si>
  <si>
    <t>Laptop dezvoltare tehnologii avansate și stații de lucru fixe</t>
  </si>
  <si>
    <t>2024_A1_095</t>
  </si>
  <si>
    <t>Ștampilă datieră</t>
  </si>
  <si>
    <t>Taxe notariale</t>
  </si>
  <si>
    <t>2024_A1_096</t>
  </si>
  <si>
    <t>50532300-6</t>
  </si>
  <si>
    <t>2024_A1_097</t>
  </si>
  <si>
    <t>Întreținere și reparații sistem de supraveghere video</t>
  </si>
  <si>
    <t xml:space="preserve">50610000-4 </t>
  </si>
  <si>
    <t xml:space="preserve">Întreținere și reparații grup generator </t>
  </si>
  <si>
    <t>16.09.2024</t>
  </si>
  <si>
    <t>2024_A1_098</t>
  </si>
  <si>
    <t>Anvelope de iarnă, jante și capace cu montaj inclus</t>
  </si>
  <si>
    <t>23.09.2024</t>
  </si>
  <si>
    <t>18.10.2024</t>
  </si>
  <si>
    <t>2024_A1_099</t>
  </si>
  <si>
    <t>Cartușe toner</t>
  </si>
  <si>
    <t>25.09.2024</t>
  </si>
  <si>
    <t>25.10.2024</t>
  </si>
  <si>
    <t>79130000-4</t>
  </si>
  <si>
    <t>2024_A1_100</t>
  </si>
  <si>
    <t>Servicii de revizie a grupului electrogen ce deservește spațiile tehnice ale Centrului de Date Primar</t>
  </si>
  <si>
    <t>04.10.2024</t>
  </si>
  <si>
    <t>01.11.2024</t>
  </si>
  <si>
    <t>2024_A1_101</t>
  </si>
  <si>
    <t>2024_A1_102</t>
  </si>
  <si>
    <t>Polițe obligatorii RCA și polițe CASCO</t>
  </si>
  <si>
    <t>07.10.2024</t>
  </si>
  <si>
    <t>Roviniete</t>
  </si>
  <si>
    <t>2024_A1_103</t>
  </si>
  <si>
    <t>Servicii de instalare, configurare și analiză/monitorizare/raportare și asociate pentru respectarea condițiilor programului I.A.S.P. (IBM Authorized Software Asset Management Provider)</t>
  </si>
  <si>
    <t>72265000-0</t>
  </si>
  <si>
    <t>17.10.2024</t>
  </si>
  <si>
    <t>15.11.2024</t>
  </si>
  <si>
    <t>2024_A1_104</t>
  </si>
  <si>
    <t>2024_A1_105</t>
  </si>
  <si>
    <t>Servicii de expertiză în specializarea evaluare bunuri imobile</t>
  </si>
  <si>
    <t>79419000-4</t>
  </si>
  <si>
    <t>23.10.2024</t>
  </si>
  <si>
    <t>Serviicii de reparație a blocului paralel redundant UPS ce deservește spațiile tehnice ale Centrului secundar de date</t>
  </si>
  <si>
    <t>50116100-2</t>
  </si>
  <si>
    <t>2024_A1_106</t>
  </si>
  <si>
    <t>Servicii de întreținere și asigurarea de consumabile și piese de schimb pentru linia tehnologică și echipamentele auxiliare XEROX</t>
  </si>
  <si>
    <t>50313200-4</t>
  </si>
  <si>
    <t>13.12.2024</t>
  </si>
  <si>
    <t>STOE ANCA GABRIELA</t>
  </si>
  <si>
    <t>2024_A1_107</t>
  </si>
  <si>
    <t>Servicii determinare consum combustibil pentru autoturism Dacia Duster</t>
  </si>
  <si>
    <t>71600000-4</t>
  </si>
  <si>
    <t>29.10.2024</t>
  </si>
  <si>
    <t>2024_A1_108</t>
  </si>
  <si>
    <t>Servicii de reparație instalație termică la clădirea Ministerului Finanțelor situată în B-dul Mircea Vodă nr. 44, cu înlocuirea cazanelor pentru apă caldă</t>
  </si>
  <si>
    <t>50720000-8</t>
  </si>
  <si>
    <t>29.11.2024</t>
  </si>
  <si>
    <t>2024_A1_109</t>
  </si>
  <si>
    <t>Certificat eSEAL ebMS aferent proiectului EESSI, pentru tentant RINA</t>
  </si>
  <si>
    <t>2024_A1_110</t>
  </si>
  <si>
    <t>2024_A1_111</t>
  </si>
  <si>
    <t>Componente pentru echipamente Xerox</t>
  </si>
  <si>
    <t>30125120-8</t>
  </si>
  <si>
    <t>06.11.2024</t>
  </si>
  <si>
    <t>Lucrări de reparații coloană de hidranți</t>
  </si>
  <si>
    <t>45330000-9</t>
  </si>
  <si>
    <t>2024_A1_112</t>
  </si>
  <si>
    <t>Servicii de verificare tehnică a instalației de utilizare a gazelor naturale și coșărit</t>
  </si>
  <si>
    <t>08.11.2024</t>
  </si>
  <si>
    <t>2024_A1_113</t>
  </si>
  <si>
    <t>Lucrări de reparații necesare pentru înlocuirea coloanelor sparte de 1 1/2 țoli situată la parterul sediului Ministerului Finanțelor</t>
  </si>
  <si>
    <t>12.11.2024</t>
  </si>
  <si>
    <t>2024_A1_114</t>
  </si>
  <si>
    <t>Produse pentru reparație instalație termică</t>
  </si>
  <si>
    <t>2024_A1_115</t>
  </si>
  <si>
    <t>Anvelope iarnă pentru auto B-105-FBR</t>
  </si>
  <si>
    <t>22.11.2024</t>
  </si>
  <si>
    <t>2024_A1_116</t>
  </si>
  <si>
    <t>2024_A1_117</t>
  </si>
  <si>
    <t>14.11.2024</t>
  </si>
  <si>
    <t>2024_A1_118</t>
  </si>
  <si>
    <t>Servicii de transport aerian intern şi internaţional de pasageri</t>
  </si>
  <si>
    <t>60400000-2</t>
  </si>
  <si>
    <t>21.11.2024</t>
  </si>
  <si>
    <t>31.12.2024</t>
  </si>
  <si>
    <t>2024_A1_119</t>
  </si>
  <si>
    <t>Publicații online pentru anul 2025</t>
  </si>
  <si>
    <t>79980000-7</t>
  </si>
  <si>
    <t>2024_A1_120</t>
  </si>
  <si>
    <t>Medii de stocare date</t>
  </si>
  <si>
    <t>30234500-3</t>
  </si>
  <si>
    <t>19.11.2024</t>
  </si>
  <si>
    <t>2024_A1_121</t>
  </si>
  <si>
    <t>Centru de comandă (dispecerat)</t>
  </si>
  <si>
    <t>42961000-0</t>
  </si>
  <si>
    <t>16.12.2024</t>
  </si>
  <si>
    <t>2024_A1_122</t>
  </si>
  <si>
    <t>Servicii de telefonie mobilă fără terminal (voce și date)</t>
  </si>
  <si>
    <t>09.12.2024</t>
  </si>
  <si>
    <t>2024_A1_123</t>
  </si>
  <si>
    <t>2024_A1_124</t>
  </si>
  <si>
    <t>Materiale pentru confecționare rafturi de depozitare documente</t>
  </si>
  <si>
    <t>14622000-7</t>
  </si>
  <si>
    <t>2024_A1_125</t>
  </si>
  <si>
    <t>Abonamente parcare ianuarie 2025</t>
  </si>
  <si>
    <t>2024_A1_126</t>
  </si>
  <si>
    <t>Servicii de expertiză tehnică a imobilului și de elaborare a Documentației de avizare a lucrărilor de intervenții (D.A.L.I.) pentru obiectivul de investiții „Reabilitare clădire C.N.I.F. - M.F.” - Etapa I</t>
  </si>
  <si>
    <t>79314000-8</t>
  </si>
  <si>
    <t>31.01.2025</t>
  </si>
  <si>
    <t>2024_A1_127</t>
  </si>
  <si>
    <t>Taxă de reînoire cod unic LEI</t>
  </si>
  <si>
    <t>79941000-2</t>
  </si>
  <si>
    <t>17.12.2024</t>
  </si>
  <si>
    <t>2024_A1_128</t>
  </si>
  <si>
    <t>Rovinietă</t>
  </si>
  <si>
    <t>26.12.2024</t>
  </si>
  <si>
    <t>2024_A1_129</t>
  </si>
  <si>
    <t>30.12.2024</t>
  </si>
  <si>
    <t>20.01.2025</t>
  </si>
  <si>
    <t>Anulată</t>
  </si>
  <si>
    <t>2024_A1_130</t>
  </si>
  <si>
    <t>23.12.2024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</si>
</sst>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l_e_i_-;\-* #,##0.00\ _l_e_i_-;_-* &quot;-&quot;??\ _l_e_i_-;_-@_-"/>
    <numFmt numFmtId="165" formatCode="dd\.mm\.yyyy"/>
    <numFmt numFmtId="166" formatCode="#,##0.00;[Red]#,##0.00"/>
  </numFmts>
  <fonts count="75"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charset val="238"/>
      <scheme val="minor"/>
    </font>
    <font>
      <sz val="11"/>
      <name val="Calibri"/>
      <family val="2"/>
      <scheme val="minor"/>
    </font>
    <font>
      <b/>
      <sz val="11"/>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4"/>
      <name val="Calibri"/>
      <family val="2"/>
      <scheme val="minor"/>
    </font>
    <font>
      <sz val="16"/>
      <name val="Calibri"/>
      <family val="2"/>
      <scheme val="minor"/>
    </font>
    <font>
      <b/>
      <sz val="8"/>
      <name val="Arial"/>
      <family val="2"/>
    </font>
    <font>
      <sz val="11"/>
      <color rgb="FF000000"/>
      <name val="Calibri"/>
      <family val="2"/>
      <scheme val="minor"/>
    </font>
    <font>
      <sz val="14"/>
      <color rgb="FFFF0000"/>
      <name val="Calibri"/>
      <family val="2"/>
      <scheme val="minor"/>
    </font>
    <font>
      <sz val="11"/>
      <name val="Calibri"/>
      <family val="2"/>
    </font>
    <font>
      <sz val="12"/>
      <name val="Calibri"/>
      <family val="2"/>
      <scheme val="minor"/>
    </font>
    <font>
      <sz val="12"/>
      <color theme="1"/>
      <name val="Calibri"/>
      <family val="2"/>
      <scheme val="minor"/>
    </font>
    <font>
      <sz val="20"/>
      <name val="Calibri"/>
      <family val="2"/>
      <charset val="238"/>
      <scheme val="minor"/>
    </font>
    <font>
      <sz val="14"/>
      <name val="Arial"/>
      <family val="2"/>
      <charset val="238"/>
    </font>
    <font>
      <sz val="14"/>
      <color rgb="FFFF0000"/>
      <name val="Arial"/>
      <family val="2"/>
      <charset val="238"/>
    </font>
    <font>
      <sz val="12"/>
      <name val="Arial"/>
      <family val="2"/>
      <charset val="238"/>
    </font>
    <font>
      <sz val="18"/>
      <name val="Calibri"/>
      <family val="2"/>
      <charset val="238"/>
      <scheme val="minor"/>
    </font>
    <font>
      <sz val="18"/>
      <color theme="1"/>
      <name val="Calibri"/>
      <family val="2"/>
      <charset val="238"/>
      <scheme val="minor"/>
    </font>
    <font>
      <sz val="12"/>
      <color rgb="FFFF0000"/>
      <name val="Calibri"/>
      <family val="2"/>
      <scheme val="minor"/>
    </font>
    <font>
      <sz val="22"/>
      <name val="Calibri"/>
      <family val="2"/>
      <scheme val="minor"/>
    </font>
    <font>
      <sz val="11"/>
      <name val="Calibri"/>
      <family val="2"/>
      <scheme val="minor"/>
    </font>
    <font>
      <sz val="12"/>
      <color rgb="FFC00000"/>
      <name val="Calibri"/>
      <family val="2"/>
      <scheme val="minor"/>
    </font>
    <font>
      <sz val="11"/>
      <color rgb="FFC00000"/>
      <name val="Calibri"/>
      <family val="2"/>
      <charset val="238"/>
      <scheme val="minor"/>
    </font>
    <font>
      <sz val="11"/>
      <color rgb="FFC00000"/>
      <name val="Calibri"/>
      <family val="2"/>
      <scheme val="minor"/>
    </font>
    <font>
      <sz val="11"/>
      <name val="Calibri"/>
      <family val="2"/>
    </font>
    <font>
      <sz val="14"/>
      <name val="Calibri"/>
      <family val="2"/>
      <scheme val="minor"/>
    </font>
    <font>
      <sz val="14"/>
      <name val="Arial"/>
      <family val="2"/>
    </font>
    <font>
      <sz val="10"/>
      <name val="Calibri"/>
      <family val="2"/>
      <scheme val="minor"/>
    </font>
    <font>
      <b/>
      <sz val="11"/>
      <name val="Calibri"/>
      <family val="2"/>
    </font>
    <font>
      <b/>
      <sz val="20"/>
      <name val="Calibri"/>
      <family val="2"/>
      <scheme val="minor"/>
    </font>
    <font>
      <b/>
      <sz val="22"/>
      <name val="Calibri"/>
      <family val="2"/>
      <scheme val="minor"/>
    </font>
    <font>
      <sz val="24"/>
      <name val="Calibri"/>
      <family val="2"/>
      <scheme val="minor"/>
    </font>
    <font>
      <sz val="8"/>
      <color rgb="FF444444"/>
      <name val="Segoe UI"/>
      <family val="2"/>
    </font>
    <font>
      <sz val="8"/>
      <color rgb="FFFF0000"/>
      <name val="Segoe UI"/>
      <family val="2"/>
    </font>
    <font>
      <sz val="8"/>
      <name val="Calibri"/>
      <family val="2"/>
      <scheme val="minor"/>
    </font>
    <font>
      <sz val="26"/>
      <name val="Calibri"/>
      <family val="2"/>
      <scheme val="minor"/>
    </font>
    <font>
      <sz val="28"/>
      <name val="Calibri"/>
      <family val="2"/>
      <scheme val="minor"/>
    </font>
    <font>
      <b/>
      <sz val="26"/>
      <name val="Calibri"/>
      <family val="2"/>
      <scheme val="minor"/>
    </font>
    <font>
      <sz val="26"/>
      <color rgb="FFFF0000"/>
      <name val="Calibri"/>
      <family val="2"/>
      <scheme val="minor"/>
    </font>
    <font>
      <sz val="26"/>
      <name val="Arial Narrow"/>
      <family val="2"/>
    </font>
    <font>
      <sz val="14"/>
      <name val="Trebuchet MS"/>
      <family val="2"/>
    </font>
    <font>
      <sz val="28"/>
      <name val="Trebuchet MS"/>
      <family val="2"/>
    </font>
    <font>
      <b/>
      <sz val="24"/>
      <name val="Trebuchet MS"/>
      <family val="2"/>
    </font>
    <font>
      <b/>
      <sz val="22"/>
      <name val="Trebuchet MS"/>
      <family val="2"/>
    </font>
    <font>
      <sz val="11"/>
      <name val="Trebuchet MS"/>
      <family val="2"/>
    </font>
    <font>
      <sz val="24"/>
      <name val="Trebuchet MS"/>
      <family val="2"/>
    </font>
    <font>
      <b/>
      <sz val="28"/>
      <name val="Trebuchet MS"/>
      <family val="2"/>
    </font>
    <font>
      <sz val="16"/>
      <name val="Trebuchet MS"/>
      <family val="2"/>
    </font>
    <font>
      <b/>
      <sz val="26"/>
      <name val="Trebuchet MS"/>
      <family val="2"/>
    </font>
    <font>
      <b/>
      <sz val="36"/>
      <name val="Trebuchet MS"/>
      <family val="2"/>
    </font>
    <font>
      <b/>
      <sz val="28"/>
      <name val="Calibri"/>
      <family val="2"/>
      <scheme val="minor"/>
    </font>
    <font>
      <sz val="28"/>
      <name val="Calibri"/>
      <family val="2"/>
      <charset val="238"/>
      <scheme val="minor"/>
    </font>
    <font>
      <sz val="28"/>
      <color theme="0"/>
      <name val="Trebuchet MS"/>
      <family val="2"/>
    </font>
    <font>
      <sz val="36"/>
      <name val="Trebuchet MS"/>
      <family val="2"/>
    </font>
    <font>
      <sz val="24"/>
      <color rgb="FF000000"/>
      <name val="Trebuchet MS"/>
      <family val="2"/>
    </font>
    <font>
      <sz val="24"/>
      <color theme="1"/>
      <name val="Trebuchet MS"/>
      <family val="2"/>
    </font>
    <font>
      <b/>
      <sz val="22"/>
      <color rgb="FF000000"/>
      <name val="Trebuchet MS"/>
      <family val="2"/>
    </font>
    <font>
      <sz val="26"/>
      <color rgb="FF000000"/>
      <name val="Trebuchet MS"/>
      <family val="2"/>
    </font>
    <font>
      <sz val="26"/>
      <color rgb="FFFF0000"/>
      <name val="Trebuchet MS"/>
      <family val="2"/>
    </font>
    <font>
      <sz val="24"/>
      <color rgb="FFFF0000"/>
      <name val="Trebuchet MS"/>
      <family val="2"/>
    </font>
    <font>
      <sz val="26"/>
      <name val="Calibri"/>
      <family val="2"/>
      <scheme val="minor"/>
    </font>
    <font>
      <sz val="16"/>
      <name val="Calibri"/>
      <family val="2"/>
      <charset val="238"/>
      <scheme val="minor"/>
    </font>
    <font>
      <sz val="26"/>
      <name val="Trebuchet MS"/>
      <family val="2"/>
    </font>
    <font>
      <b/>
      <sz val="26"/>
      <name val="Calibri"/>
      <family val="2"/>
      <scheme val="minor"/>
    </font>
    <font>
      <b/>
      <u/>
      <sz val="28"/>
      <name val="Trebuchet MS"/>
      <family val="2"/>
    </font>
    <font>
      <b/>
      <u/>
      <sz val="26"/>
      <name val="Trebuchet MS"/>
      <family val="2"/>
    </font>
    <font>
      <sz val="36"/>
      <name val="Calibri"/>
      <family val="2"/>
      <scheme val="minor"/>
    </font>
    <font>
      <b/>
      <sz val="24"/>
      <color rgb="FF000000"/>
      <name val="Trebuchet MS"/>
      <family val="2"/>
    </font>
    <font>
      <sz val="26"/>
      <name val="Calibri"/>
      <family val="2"/>
      <scheme val="minor"/>
    </font>
    <font>
      <b/>
      <sz val="26"/>
      <name val="Calibri"/>
      <family val="2"/>
      <scheme val="minor"/>
    </font>
  </fonts>
  <fills count="1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4"/>
        <bgColor indexed="64"/>
      </patternFill>
    </fill>
    <fill>
      <patternFill patternType="solid">
        <fgColor rgb="FF00B050"/>
        <bgColor indexed="64"/>
      </patternFill>
    </fill>
    <fill>
      <patternFill patternType="solid">
        <fgColor theme="3" tint="0.79998168889431442"/>
        <bgColor indexed="64"/>
      </patternFill>
    </fill>
    <fill>
      <patternFill patternType="solid">
        <fgColor rgb="FFDDEBF7"/>
        <bgColor indexed="64"/>
      </patternFill>
    </fill>
    <fill>
      <patternFill patternType="solid">
        <fgColor rgb="FFC00000"/>
        <bgColor indexed="64"/>
      </patternFill>
    </fill>
    <fill>
      <patternFill patternType="solid">
        <fgColor rgb="FFF9F9F9"/>
        <bgColor indexed="64"/>
      </patternFill>
    </fill>
    <fill>
      <patternFill patternType="solid">
        <fgColor rgb="FFFFFFFF"/>
        <bgColor indexed="64"/>
      </patternFill>
    </fill>
    <fill>
      <patternFill patternType="solid">
        <fgColor rgb="FFF5F5F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rgb="FF9BC2E6"/>
      </left>
      <right style="medium">
        <color rgb="FF9BC2E6"/>
      </right>
      <top style="medium">
        <color rgb="FF9BC2E6"/>
      </top>
      <bottom style="medium">
        <color rgb="FF9BC2E6"/>
      </bottom>
      <diagonal/>
    </border>
    <border>
      <left style="medium">
        <color rgb="FF9BC2E6"/>
      </left>
      <right style="medium">
        <color rgb="FF9BC2E6"/>
      </right>
      <top/>
      <bottom style="medium">
        <color rgb="FF9BC2E6"/>
      </bottom>
      <diagonal/>
    </border>
    <border>
      <left style="thin">
        <color indexed="64"/>
      </left>
      <right style="thin">
        <color indexed="64"/>
      </right>
      <top style="thin">
        <color indexed="64"/>
      </top>
      <bottom/>
      <diagonal/>
    </border>
    <border>
      <left/>
      <right style="thin">
        <color indexed="64"/>
      </right>
      <top/>
      <bottom/>
      <diagonal/>
    </border>
    <border>
      <left/>
      <right/>
      <top style="thin">
        <color theme="4" tint="0.39997558519241921"/>
      </top>
      <bottom/>
      <diagonal/>
    </border>
    <border>
      <left style="medium">
        <color rgb="FFDDDDDD"/>
      </left>
      <right style="medium">
        <color rgb="FFDDDDDD"/>
      </right>
      <top style="medium">
        <color rgb="FFDDDDDD"/>
      </top>
      <bottom style="medium">
        <color rgb="FFDDDDDD"/>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89">
    <xf numFmtId="0" fontId="0" fillId="0" borderId="0" xfId="0"/>
    <xf numFmtId="0" fontId="4" fillId="3" borderId="2" xfId="0" applyFont="1" applyFill="1" applyBorder="1" applyAlignment="1">
      <alignment horizontal="center" vertical="center" wrapText="1"/>
    </xf>
    <xf numFmtId="0" fontId="0" fillId="4" borderId="0" xfId="0" applyFill="1"/>
    <xf numFmtId="0" fontId="0" fillId="0" borderId="0" xfId="0" applyAlignment="1">
      <alignment horizontal="left"/>
    </xf>
    <xf numFmtId="0" fontId="0" fillId="5" borderId="0" xfId="0" applyFill="1"/>
    <xf numFmtId="0" fontId="4" fillId="3" borderId="2" xfId="0" applyFont="1" applyFill="1" applyBorder="1"/>
    <xf numFmtId="0" fontId="0" fillId="0" borderId="0" xfId="0" pivotButton="1"/>
    <xf numFmtId="164" fontId="0" fillId="0" borderId="0" xfId="0" applyNumberFormat="1"/>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1" applyFont="1" applyFill="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xf numFmtId="0" fontId="4" fillId="0" borderId="0" xfId="0" applyFont="1" applyAlignment="1">
      <alignment horizontal="left" vertical="center" wrapText="1"/>
    </xf>
    <xf numFmtId="0" fontId="5" fillId="2" borderId="2" xfId="0" applyFont="1" applyFill="1" applyBorder="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2" xfId="0" applyFont="1" applyBorder="1"/>
    <xf numFmtId="0" fontId="4" fillId="0" borderId="2" xfId="0" applyFont="1" applyBorder="1" applyAlignment="1">
      <alignment horizontal="left" vertical="center"/>
    </xf>
    <xf numFmtId="164" fontId="6" fillId="5" borderId="0" xfId="1" applyFont="1" applyFill="1"/>
    <xf numFmtId="0" fontId="4" fillId="3" borderId="0" xfId="0" applyFont="1" applyFill="1" applyAlignment="1">
      <alignment horizontal="center" vertical="center" wrapText="1"/>
    </xf>
    <xf numFmtId="0" fontId="2" fillId="0" borderId="0" xfId="0" applyFont="1"/>
    <xf numFmtId="0" fontId="4" fillId="0" borderId="2" xfId="0" applyFont="1" applyBorder="1" applyAlignment="1">
      <alignment horizontal="right" vertical="center" wrapText="1"/>
    </xf>
    <xf numFmtId="0" fontId="0" fillId="0" borderId="1" xfId="0" applyBorder="1"/>
    <xf numFmtId="0" fontId="0" fillId="0" borderId="1" xfId="0" applyBorder="1" applyAlignment="1">
      <alignment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9" fillId="0" borderId="1" xfId="1" applyFont="1" applyFill="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0" fillId="0" borderId="1" xfId="0" applyBorder="1" applyAlignment="1">
      <alignment horizontal="center"/>
    </xf>
    <xf numFmtId="0" fontId="6" fillId="8" borderId="1" xfId="0" applyFont="1" applyFill="1" applyBorder="1" applyAlignment="1">
      <alignment horizontal="center"/>
    </xf>
    <xf numFmtId="0" fontId="0" fillId="0" borderId="6" xfId="0" applyBorder="1" applyAlignment="1">
      <alignment horizontal="left"/>
    </xf>
    <xf numFmtId="0" fontId="0" fillId="8" borderId="6" xfId="0" applyFill="1" applyBorder="1" applyAlignment="1">
      <alignment horizontal="left"/>
    </xf>
    <xf numFmtId="0" fontId="6" fillId="0" borderId="1" xfId="0" applyFont="1" applyBorder="1" applyAlignment="1">
      <alignment horizontal="center" vertical="center"/>
    </xf>
    <xf numFmtId="0" fontId="6" fillId="0" borderId="1" xfId="0" applyFont="1" applyBorder="1" applyAlignment="1">
      <alignment horizontal="center"/>
    </xf>
    <xf numFmtId="0" fontId="6" fillId="8" borderId="1" xfId="0" applyFont="1" applyFill="1" applyBorder="1" applyAlignment="1">
      <alignment horizontal="center" vertical="center"/>
    </xf>
    <xf numFmtId="0" fontId="0" fillId="0" borderId="5" xfId="0" applyBorder="1" applyAlignment="1">
      <alignment horizontal="center"/>
    </xf>
    <xf numFmtId="0" fontId="0" fillId="9" borderId="7" xfId="0" applyFill="1" applyBorder="1" applyAlignment="1">
      <alignment horizontal="left" wrapText="1"/>
    </xf>
    <xf numFmtId="0" fontId="6" fillId="9" borderId="7" xfId="0" applyFont="1" applyFill="1" applyBorder="1" applyAlignment="1">
      <alignment horizontal="left" wrapText="1"/>
    </xf>
    <xf numFmtId="0" fontId="11" fillId="11" borderId="0" xfId="0" applyFont="1" applyFill="1" applyAlignment="1">
      <alignment horizontal="left"/>
    </xf>
    <xf numFmtId="0" fontId="11" fillId="12" borderId="0" xfId="0" applyFont="1" applyFill="1" applyAlignment="1">
      <alignment horizontal="left"/>
    </xf>
    <xf numFmtId="0" fontId="11" fillId="13" borderId="0" xfId="0" applyFont="1" applyFill="1" applyAlignment="1">
      <alignment horizontal="left"/>
    </xf>
    <xf numFmtId="0" fontId="11" fillId="10" borderId="0" xfId="0" applyFont="1" applyFill="1" applyAlignment="1">
      <alignment horizontal="left"/>
    </xf>
    <xf numFmtId="0" fontId="9" fillId="0" borderId="0" xfId="0" applyFont="1"/>
    <xf numFmtId="0" fontId="9" fillId="0" borderId="0" xfId="0" applyFont="1" applyAlignment="1">
      <alignment horizontal="left" vertical="center" wrapText="1"/>
    </xf>
    <xf numFmtId="0" fontId="9" fillId="0" borderId="0" xfId="0" applyFont="1" applyAlignment="1">
      <alignment vertical="center" wrapText="1"/>
    </xf>
    <xf numFmtId="0" fontId="12" fillId="0" borderId="8" xfId="0" applyFont="1" applyBorder="1" applyAlignment="1">
      <alignment vertical="center"/>
    </xf>
    <xf numFmtId="0" fontId="12" fillId="14" borderId="9" xfId="0" applyFont="1" applyFill="1" applyBorder="1" applyAlignment="1">
      <alignment vertical="center"/>
    </xf>
    <xf numFmtId="0" fontId="10" fillId="0" borderId="0" xfId="0" applyFont="1" applyAlignment="1">
      <alignment horizontal="left" vertical="center" wrapText="1"/>
    </xf>
    <xf numFmtId="0" fontId="3" fillId="0" borderId="0" xfId="0" applyFont="1"/>
    <xf numFmtId="0" fontId="13" fillId="0" borderId="1" xfId="0" applyFont="1" applyBorder="1" applyAlignment="1">
      <alignment horizontal="center" vertical="center" wrapText="1"/>
    </xf>
    <xf numFmtId="164" fontId="9" fillId="0" borderId="1" xfId="1" applyFont="1" applyFill="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vertical="center"/>
    </xf>
    <xf numFmtId="0" fontId="4" fillId="0" borderId="10" xfId="0" applyFont="1" applyBorder="1" applyAlignment="1">
      <alignment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164" fontId="15" fillId="0" borderId="1" xfId="1" applyFont="1" applyBorder="1" applyAlignment="1">
      <alignment horizontal="center" vertical="center" wrapText="1"/>
    </xf>
    <xf numFmtId="0" fontId="16" fillId="0" borderId="1" xfId="0" applyFont="1" applyBorder="1" applyAlignment="1">
      <alignment horizontal="center" vertical="center" wrapText="1"/>
    </xf>
    <xf numFmtId="164" fontId="15" fillId="0" borderId="1" xfId="1" applyFont="1" applyFill="1" applyBorder="1" applyAlignment="1">
      <alignment horizontal="center" vertical="center" wrapText="1"/>
    </xf>
    <xf numFmtId="49" fontId="15" fillId="0" borderId="1" xfId="0" applyNumberFormat="1" applyFont="1" applyBorder="1" applyAlignment="1">
      <alignment horizontal="center" vertical="center"/>
    </xf>
    <xf numFmtId="0" fontId="15" fillId="0" borderId="0" xfId="0" applyFont="1" applyAlignment="1">
      <alignment horizontal="center" vertical="center"/>
    </xf>
    <xf numFmtId="14" fontId="15" fillId="0" borderId="1" xfId="0" applyNumberFormat="1" applyFont="1" applyBorder="1" applyAlignment="1">
      <alignment horizontal="center" vertical="center" wrapText="1"/>
    </xf>
    <xf numFmtId="0" fontId="0" fillId="0" borderId="10" xfId="0" applyBorder="1"/>
    <xf numFmtId="0" fontId="0" fillId="0" borderId="11" xfId="0" applyBorder="1"/>
    <xf numFmtId="0" fontId="15" fillId="0" borderId="1" xfId="0" applyFont="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wrapText="1"/>
    </xf>
    <xf numFmtId="14" fontId="15"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49" fontId="4" fillId="0" borderId="0" xfId="0" applyNumberFormat="1" applyFont="1"/>
    <xf numFmtId="49" fontId="5" fillId="2" borderId="0" xfId="0" applyNumberFormat="1" applyFont="1" applyFill="1" applyAlignment="1">
      <alignment horizontal="center" vertical="center" wrapText="1"/>
    </xf>
    <xf numFmtId="49" fontId="14" fillId="0" borderId="0" xfId="0" applyNumberFormat="1" applyFont="1"/>
    <xf numFmtId="0" fontId="15"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0" fillId="0" borderId="3" xfId="0" applyBorder="1"/>
    <xf numFmtId="164" fontId="4" fillId="0" borderId="1" xfId="1" applyFont="1" applyFill="1" applyBorder="1" applyAlignment="1">
      <alignment horizontal="right" vertical="center"/>
    </xf>
    <xf numFmtId="0" fontId="23" fillId="0" borderId="1" xfId="0" applyFont="1" applyBorder="1" applyAlignment="1">
      <alignment horizontal="center" vertical="center" wrapText="1"/>
    </xf>
    <xf numFmtId="0" fontId="25" fillId="0" borderId="0" xfId="0" applyFont="1"/>
    <xf numFmtId="14"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1" fillId="15" borderId="1" xfId="0" applyFont="1" applyFill="1" applyBorder="1" applyAlignment="1">
      <alignment horizontal="center" vertical="center" wrapText="1"/>
    </xf>
    <xf numFmtId="0" fontId="15" fillId="15" borderId="1" xfId="0" applyFont="1" applyFill="1" applyBorder="1" applyAlignment="1">
      <alignment vertical="center" wrapText="1"/>
    </xf>
    <xf numFmtId="0" fontId="15" fillId="15" borderId="1" xfId="0" applyFont="1" applyFill="1" applyBorder="1" applyAlignment="1">
      <alignment vertical="center"/>
    </xf>
    <xf numFmtId="164" fontId="4" fillId="15" borderId="1" xfId="1" applyFont="1" applyFill="1" applyBorder="1" applyAlignment="1">
      <alignment horizontal="center" vertical="center"/>
    </xf>
    <xf numFmtId="14" fontId="15" fillId="15" borderId="1" xfId="0" applyNumberFormat="1" applyFont="1" applyFill="1" applyBorder="1" applyAlignment="1">
      <alignment horizontal="center" vertical="center"/>
    </xf>
    <xf numFmtId="0" fontId="4" fillId="15"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164" fontId="3" fillId="0" borderId="1" xfId="1" applyFont="1" applyFill="1" applyBorder="1" applyAlignment="1">
      <alignment horizontal="center" vertical="center"/>
    </xf>
    <xf numFmtId="0" fontId="28" fillId="0" borderId="1" xfId="0" applyFont="1" applyBorder="1" applyAlignment="1">
      <alignment horizontal="center" vertical="center" wrapText="1"/>
    </xf>
    <xf numFmtId="0" fontId="30" fillId="0" borderId="3" xfId="0" applyFont="1" applyBorder="1" applyAlignment="1">
      <alignment horizontal="center" vertical="center"/>
    </xf>
    <xf numFmtId="0" fontId="31" fillId="0" borderId="1" xfId="0" applyFont="1" applyBorder="1" applyAlignment="1">
      <alignment horizontal="left" vertical="center" wrapText="1"/>
    </xf>
    <xf numFmtId="0" fontId="31" fillId="0" borderId="1" xfId="0" applyFont="1" applyBorder="1" applyAlignment="1">
      <alignment horizontal="center" vertical="center" wrapText="1"/>
    </xf>
    <xf numFmtId="164" fontId="25" fillId="0" borderId="1" xfId="1" applyFont="1" applyFill="1" applyBorder="1" applyAlignment="1">
      <alignment horizontal="center" vertical="center"/>
    </xf>
    <xf numFmtId="14" fontId="31"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49" fontId="29" fillId="0" borderId="0" xfId="0" applyNumberFormat="1" applyFont="1"/>
    <xf numFmtId="0" fontId="23" fillId="0" borderId="6" xfId="0" applyFont="1" applyBorder="1" applyAlignment="1">
      <alignment horizontal="center" vertical="center" wrapText="1"/>
    </xf>
    <xf numFmtId="164" fontId="4" fillId="0" borderId="0" xfId="0" applyNumberFormat="1" applyFont="1" applyAlignment="1">
      <alignment horizontal="center" vertical="center"/>
    </xf>
    <xf numFmtId="0" fontId="4" fillId="2" borderId="2" xfId="0" applyFont="1" applyFill="1" applyBorder="1" applyAlignment="1">
      <alignment horizontal="center" vertical="center" wrapText="1"/>
    </xf>
    <xf numFmtId="49" fontId="33" fillId="2" borderId="0" xfId="0" applyNumberFormat="1" applyFont="1" applyFill="1" applyAlignment="1">
      <alignment horizontal="center" vertical="center" wrapText="1"/>
    </xf>
    <xf numFmtId="49" fontId="14" fillId="0" borderId="0" xfId="0" applyNumberFormat="1" applyFont="1" applyAlignment="1">
      <alignment horizontal="center" vertical="center" wrapText="1"/>
    </xf>
    <xf numFmtId="14" fontId="23" fillId="0" borderId="1" xfId="0" applyNumberFormat="1" applyFont="1" applyBorder="1" applyAlignment="1">
      <alignment horizontal="center" vertical="center" wrapText="1"/>
    </xf>
    <xf numFmtId="0" fontId="23" fillId="0" borderId="1" xfId="0" applyFont="1" applyBorder="1" applyAlignment="1">
      <alignment horizontal="left" vertical="center" wrapText="1"/>
    </xf>
    <xf numFmtId="0" fontId="32"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14" fontId="28" fillId="0" borderId="1" xfId="0" applyNumberFormat="1" applyFont="1" applyBorder="1" applyAlignment="1">
      <alignment horizontal="center" vertical="center" wrapText="1"/>
    </xf>
    <xf numFmtId="164" fontId="15" fillId="0" borderId="1" xfId="1" applyFont="1" applyFill="1" applyBorder="1" applyAlignment="1">
      <alignment horizontal="right" vertical="center"/>
    </xf>
    <xf numFmtId="164" fontId="15" fillId="0" borderId="1" xfId="1" applyFont="1" applyFill="1" applyBorder="1" applyAlignment="1">
      <alignment horizontal="center" vertical="center"/>
    </xf>
    <xf numFmtId="0" fontId="13" fillId="0" borderId="0" xfId="0" applyFont="1"/>
    <xf numFmtId="0" fontId="3" fillId="0" borderId="0" xfId="0" applyFont="1" applyAlignment="1">
      <alignment horizontal="left" vertical="center"/>
    </xf>
    <xf numFmtId="14" fontId="23"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 fontId="15" fillId="0" borderId="1" xfId="0" applyNumberFormat="1" applyFont="1" applyBorder="1" applyAlignment="1">
      <alignment horizontal="right" vertical="center"/>
    </xf>
    <xf numFmtId="164" fontId="15" fillId="0" borderId="1" xfId="1" applyFont="1" applyFill="1" applyBorder="1" applyAlignment="1">
      <alignment horizontal="right" vertical="center" wrapText="1"/>
    </xf>
    <xf numFmtId="0" fontId="15" fillId="0" borderId="3" xfId="0" applyFont="1" applyBorder="1" applyAlignment="1">
      <alignment horizontal="center" vertical="center"/>
    </xf>
    <xf numFmtId="164" fontId="4" fillId="0" borderId="1" xfId="1" applyFont="1" applyBorder="1" applyAlignment="1">
      <alignment horizontal="right" vertical="center"/>
    </xf>
    <xf numFmtId="0" fontId="9" fillId="0" borderId="0" xfId="0" applyFont="1" applyAlignment="1">
      <alignment horizontal="right"/>
    </xf>
    <xf numFmtId="0" fontId="8" fillId="2" borderId="1" xfId="0" applyFont="1" applyFill="1" applyBorder="1" applyAlignment="1">
      <alignment horizontal="right" vertical="center" wrapText="1"/>
    </xf>
    <xf numFmtId="164" fontId="15" fillId="0" borderId="1" xfId="1" applyFont="1" applyBorder="1" applyAlignment="1">
      <alignment horizontal="right" vertical="center" wrapText="1"/>
    </xf>
    <xf numFmtId="164" fontId="23" fillId="0" borderId="1" xfId="1" applyFont="1" applyBorder="1" applyAlignment="1">
      <alignment horizontal="right" vertical="center" wrapText="1"/>
    </xf>
    <xf numFmtId="4" fontId="15" fillId="15" borderId="1" xfId="0" applyNumberFormat="1" applyFont="1" applyFill="1" applyBorder="1" applyAlignment="1">
      <alignment horizontal="right" vertical="center"/>
    </xf>
    <xf numFmtId="164" fontId="3" fillId="0" borderId="1" xfId="1" applyFont="1" applyBorder="1" applyAlignment="1">
      <alignment horizontal="right" vertical="center" wrapText="1"/>
    </xf>
    <xf numFmtId="164" fontId="0" fillId="0" borderId="1" xfId="1" applyFont="1" applyBorder="1" applyAlignment="1">
      <alignment horizontal="right" vertical="center" wrapText="1"/>
    </xf>
    <xf numFmtId="164" fontId="18" fillId="0" borderId="1" xfId="1" applyFont="1" applyBorder="1" applyAlignment="1">
      <alignment horizontal="right" vertical="center" wrapText="1"/>
    </xf>
    <xf numFmtId="164" fontId="19" fillId="0" borderId="1" xfId="1" applyFont="1" applyBorder="1" applyAlignment="1">
      <alignment horizontal="right" vertical="center" wrapText="1"/>
    </xf>
    <xf numFmtId="164" fontId="31" fillId="0" borderId="1" xfId="1" applyFont="1" applyBorder="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164" fontId="4" fillId="15" borderId="1" xfId="1" applyFont="1" applyFill="1" applyBorder="1" applyAlignment="1">
      <alignment horizontal="right" vertical="center"/>
    </xf>
    <xf numFmtId="164" fontId="3" fillId="0" borderId="1" xfId="1" applyFont="1" applyFill="1" applyBorder="1" applyAlignment="1">
      <alignment horizontal="right" vertical="center"/>
    </xf>
    <xf numFmtId="164" fontId="25" fillId="0" borderId="1" xfId="1" applyFont="1" applyBorder="1" applyAlignment="1">
      <alignment horizontal="right" vertical="center"/>
    </xf>
    <xf numFmtId="0" fontId="24" fillId="0" borderId="0" xfId="0" applyFont="1" applyAlignment="1">
      <alignment horizontal="center" vertical="center"/>
    </xf>
    <xf numFmtId="0" fontId="4" fillId="3" borderId="1" xfId="0" applyFont="1" applyFill="1" applyBorder="1" applyAlignment="1">
      <alignment vertical="center"/>
    </xf>
    <xf numFmtId="0" fontId="4" fillId="3" borderId="10" xfId="0" applyFont="1" applyFill="1" applyBorder="1" applyAlignment="1">
      <alignment vertical="center"/>
    </xf>
    <xf numFmtId="0" fontId="16" fillId="5" borderId="1" xfId="0" applyFont="1" applyFill="1" applyBorder="1" applyAlignment="1">
      <alignment vertical="center" wrapText="1"/>
    </xf>
    <xf numFmtId="4" fontId="15" fillId="5" borderId="1" xfId="0" applyNumberFormat="1" applyFont="1" applyFill="1" applyBorder="1" applyAlignment="1">
      <alignment horizontal="right" vertical="center"/>
    </xf>
    <xf numFmtId="0" fontId="24" fillId="0" borderId="0" xfId="0" applyFont="1"/>
    <xf numFmtId="0" fontId="24" fillId="0" borderId="0" xfId="0" applyFont="1" applyAlignment="1">
      <alignment horizontal="left" vertical="center" wrapText="1"/>
    </xf>
    <xf numFmtId="0" fontId="36" fillId="0" borderId="0" xfId="0" applyFont="1"/>
    <xf numFmtId="0" fontId="24" fillId="0" borderId="0" xfId="0" applyFont="1" applyAlignment="1">
      <alignment horizontal="center" vertical="center" wrapText="1"/>
    </xf>
    <xf numFmtId="0" fontId="9" fillId="6" borderId="0" xfId="0" applyFont="1" applyFill="1"/>
    <xf numFmtId="0" fontId="35" fillId="0" borderId="0" xfId="0" applyFont="1" applyAlignment="1">
      <alignment horizontal="center" vertical="center"/>
    </xf>
    <xf numFmtId="0" fontId="24" fillId="0" borderId="0" xfId="0" applyFont="1" applyAlignment="1">
      <alignment horizontal="center"/>
    </xf>
    <xf numFmtId="0" fontId="35" fillId="0" borderId="0" xfId="0" applyFont="1" applyAlignment="1">
      <alignment vertical="center"/>
    </xf>
    <xf numFmtId="0" fontId="37" fillId="16" borderId="13" xfId="0" applyFont="1" applyFill="1" applyBorder="1" applyAlignment="1">
      <alignment vertical="center" wrapText="1"/>
    </xf>
    <xf numFmtId="0" fontId="37" fillId="16" borderId="13" xfId="0" applyFont="1" applyFill="1" applyBorder="1" applyAlignment="1">
      <alignment vertical="top" wrapText="1"/>
    </xf>
    <xf numFmtId="0" fontId="37" fillId="17" borderId="13" xfId="0" applyFont="1" applyFill="1" applyBorder="1" applyAlignment="1">
      <alignment vertical="center" wrapText="1"/>
    </xf>
    <xf numFmtId="0" fontId="37" fillId="17" borderId="13" xfId="0" applyFont="1" applyFill="1" applyBorder="1" applyAlignment="1">
      <alignment vertical="top" wrapText="1"/>
    </xf>
    <xf numFmtId="0" fontId="37" fillId="18" borderId="13" xfId="0" applyFont="1" applyFill="1" applyBorder="1" applyAlignment="1">
      <alignment vertical="center" wrapText="1"/>
    </xf>
    <xf numFmtId="0" fontId="37" fillId="18" borderId="13" xfId="0" applyFont="1" applyFill="1" applyBorder="1" applyAlignment="1">
      <alignment vertical="top" wrapText="1"/>
    </xf>
    <xf numFmtId="0" fontId="37" fillId="7" borderId="13" xfId="0" applyFont="1" applyFill="1" applyBorder="1" applyAlignment="1">
      <alignment vertical="center" wrapText="1"/>
    </xf>
    <xf numFmtId="0" fontId="38" fillId="7" borderId="13" xfId="0" applyFont="1" applyFill="1" applyBorder="1" applyAlignment="1">
      <alignment vertical="center" wrapText="1"/>
    </xf>
    <xf numFmtId="0" fontId="4" fillId="0" borderId="4" xfId="0" applyFont="1" applyBorder="1" applyAlignment="1">
      <alignment horizontal="center" vertical="center" wrapText="1"/>
    </xf>
    <xf numFmtId="0" fontId="41" fillId="0" borderId="0" xfId="0" applyFont="1" applyAlignment="1">
      <alignment horizontal="left" vertical="center" wrapText="1"/>
    </xf>
    <xf numFmtId="0" fontId="40" fillId="6" borderId="1" xfId="0" applyFont="1" applyFill="1" applyBorder="1" applyAlignment="1">
      <alignment horizontal="center" vertical="center"/>
    </xf>
    <xf numFmtId="0" fontId="40" fillId="6" borderId="1" xfId="0" applyFont="1" applyFill="1" applyBorder="1" applyAlignment="1">
      <alignment horizontal="center" vertical="center" wrapText="1"/>
    </xf>
    <xf numFmtId="0" fontId="40" fillId="7" borderId="1" xfId="0" applyFont="1" applyFill="1" applyBorder="1" applyAlignment="1">
      <alignment horizontal="center" vertical="center"/>
    </xf>
    <xf numFmtId="0" fontId="40" fillId="7" borderId="1" xfId="0" applyFont="1" applyFill="1" applyBorder="1" applyAlignment="1">
      <alignment horizontal="center" vertical="center" wrapText="1"/>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0" fillId="0" borderId="0" xfId="0" applyFont="1" applyAlignment="1">
      <alignment horizontal="center" vertical="center"/>
    </xf>
    <xf numFmtId="0" fontId="43" fillId="0" borderId="1" xfId="0" applyFont="1" applyBorder="1" applyAlignment="1">
      <alignment horizontal="center" vertical="center"/>
    </xf>
    <xf numFmtId="0" fontId="42" fillId="0" borderId="0" xfId="0" applyFont="1" applyAlignment="1">
      <alignment horizontal="center" vertical="center"/>
    </xf>
    <xf numFmtId="0" fontId="42" fillId="0" borderId="0" xfId="0" applyFont="1"/>
    <xf numFmtId="0" fontId="42" fillId="0" borderId="0" xfId="0" applyFont="1" applyAlignment="1">
      <alignment horizontal="center" vertical="center" wrapText="1"/>
    </xf>
    <xf numFmtId="0" fontId="40" fillId="0" borderId="0" xfId="0" applyFont="1"/>
    <xf numFmtId="0" fontId="40" fillId="0" borderId="0" xfId="0" applyFont="1" applyAlignment="1">
      <alignment horizontal="center" vertical="center" wrapText="1"/>
    </xf>
    <xf numFmtId="0" fontId="40" fillId="0" borderId="0" xfId="0" applyFont="1" applyAlignment="1">
      <alignment horizontal="left" vertical="center" wrapText="1"/>
    </xf>
    <xf numFmtId="9" fontId="40" fillId="0" borderId="1" xfId="2" applyFont="1" applyFill="1" applyBorder="1" applyAlignment="1">
      <alignment horizontal="right" vertical="center" wrapText="1"/>
    </xf>
    <xf numFmtId="0" fontId="44" fillId="0" borderId="1" xfId="0" applyFont="1" applyBorder="1" applyAlignment="1">
      <alignment horizontal="center" vertical="center" wrapText="1"/>
    </xf>
    <xf numFmtId="9" fontId="43" fillId="0" borderId="1" xfId="2" applyFont="1" applyFill="1" applyBorder="1" applyAlignment="1">
      <alignment horizontal="right"/>
    </xf>
    <xf numFmtId="9" fontId="40" fillId="0" borderId="1" xfId="2" applyFont="1" applyFill="1" applyBorder="1" applyAlignment="1">
      <alignment horizontal="right"/>
    </xf>
    <xf numFmtId="164" fontId="43" fillId="0" borderId="1" xfId="2" applyNumberFormat="1" applyFont="1" applyFill="1" applyBorder="1" applyAlignment="1">
      <alignment horizontal="right"/>
    </xf>
    <xf numFmtId="49" fontId="40" fillId="0" borderId="1" xfId="0" applyNumberFormat="1" applyFont="1" applyBorder="1" applyAlignment="1">
      <alignment horizontal="center" vertical="center"/>
    </xf>
    <xf numFmtId="49" fontId="44" fillId="0" borderId="1" xfId="0" applyNumberFormat="1" applyFont="1" applyBorder="1" applyAlignment="1">
      <alignment horizontal="center" vertical="center"/>
    </xf>
    <xf numFmtId="164" fontId="40" fillId="0" borderId="1" xfId="2" applyNumberFormat="1" applyFont="1" applyFill="1" applyBorder="1" applyAlignment="1">
      <alignment horizontal="right"/>
    </xf>
    <xf numFmtId="0" fontId="45" fillId="0" borderId="0" xfId="0" applyFont="1"/>
    <xf numFmtId="0" fontId="46" fillId="0" borderId="0" xfId="0" applyFont="1" applyAlignment="1">
      <alignment horizontal="left" vertical="center" wrapText="1"/>
    </xf>
    <xf numFmtId="0" fontId="45" fillId="0" borderId="0" xfId="0" applyFont="1" applyAlignment="1">
      <alignment vertical="center" wrapText="1"/>
    </xf>
    <xf numFmtId="0" fontId="45" fillId="0" borderId="0" xfId="0" applyFont="1" applyAlignment="1">
      <alignment horizontal="left" vertical="center" wrapText="1"/>
    </xf>
    <xf numFmtId="0" fontId="49" fillId="0" borderId="0" xfId="0" applyFont="1"/>
    <xf numFmtId="0" fontId="50" fillId="0" borderId="0" xfId="0" applyFont="1" applyAlignment="1">
      <alignment horizontal="center" vertical="center"/>
    </xf>
    <xf numFmtId="14" fontId="50" fillId="0" borderId="0" xfId="0" applyNumberFormat="1" applyFont="1" applyAlignment="1">
      <alignment horizontal="center" vertical="center"/>
    </xf>
    <xf numFmtId="0" fontId="50" fillId="0" borderId="0" xfId="0" applyFont="1"/>
    <xf numFmtId="0" fontId="47" fillId="2" borderId="3" xfId="0" applyFont="1" applyFill="1" applyBorder="1" applyAlignment="1">
      <alignment horizontal="center" vertical="center"/>
    </xf>
    <xf numFmtId="0" fontId="47" fillId="2" borderId="1" xfId="0" applyFont="1" applyFill="1" applyBorder="1" applyAlignment="1">
      <alignment horizontal="center" vertical="center"/>
    </xf>
    <xf numFmtId="0" fontId="47" fillId="2" borderId="1" xfId="0" applyFont="1" applyFill="1" applyBorder="1" applyAlignment="1">
      <alignment horizontal="center" vertical="center" wrapText="1"/>
    </xf>
    <xf numFmtId="0" fontId="52" fillId="0" borderId="0" xfId="0" applyFont="1"/>
    <xf numFmtId="0" fontId="52" fillId="0" borderId="0" xfId="0" applyFont="1" applyAlignment="1">
      <alignment horizontal="left" vertical="center" wrapText="1"/>
    </xf>
    <xf numFmtId="0" fontId="35" fillId="0" borderId="0" xfId="0" applyFont="1" applyAlignment="1">
      <alignment horizontal="center" vertical="center" wrapText="1"/>
    </xf>
    <xf numFmtId="0" fontId="4" fillId="0" borderId="0" xfId="0" applyFont="1" applyAlignment="1">
      <alignment horizontal="left" wrapText="1"/>
    </xf>
    <xf numFmtId="0" fontId="40" fillId="0" borderId="0" xfId="0" applyFont="1" applyAlignment="1">
      <alignment horizontal="left" wrapText="1"/>
    </xf>
    <xf numFmtId="0" fontId="53" fillId="2" borderId="3"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3" fillId="2" borderId="1" xfId="0" applyFont="1" applyFill="1" applyBorder="1" applyAlignment="1">
      <alignment horizontal="left" vertical="center" wrapText="1"/>
    </xf>
    <xf numFmtId="0" fontId="42" fillId="2" borderId="12" xfId="0" applyFont="1" applyFill="1" applyBorder="1" applyAlignment="1">
      <alignment horizontal="center" vertical="center" wrapText="1"/>
    </xf>
    <xf numFmtId="0" fontId="42" fillId="2" borderId="0" xfId="0" applyFont="1" applyFill="1" applyAlignment="1">
      <alignment horizontal="center" vertical="center" wrapText="1"/>
    </xf>
    <xf numFmtId="0" fontId="55" fillId="0" borderId="0" xfId="0" applyFont="1" applyAlignment="1">
      <alignment horizontal="center" vertical="center"/>
    </xf>
    <xf numFmtId="0" fontId="55" fillId="0" borderId="0" xfId="0" applyFont="1"/>
    <xf numFmtId="4" fontId="55" fillId="0" borderId="5" xfId="0" applyNumberFormat="1" applyFont="1" applyBorder="1" applyAlignment="1">
      <alignment horizontal="right" vertical="center"/>
    </xf>
    <xf numFmtId="164" fontId="55" fillId="0" borderId="0" xfId="0" applyNumberFormat="1" applyFont="1"/>
    <xf numFmtId="0" fontId="55" fillId="0" borderId="0" xfId="0" applyFont="1" applyAlignment="1">
      <alignment horizontal="left" wrapText="1"/>
    </xf>
    <xf numFmtId="0" fontId="41" fillId="0" borderId="0" xfId="0" applyFont="1" applyAlignment="1">
      <alignment horizontal="center" vertical="center"/>
    </xf>
    <xf numFmtId="0" fontId="41" fillId="0" borderId="0" xfId="0" applyFont="1"/>
    <xf numFmtId="164" fontId="41" fillId="0" borderId="0" xfId="0" applyNumberFormat="1" applyFont="1"/>
    <xf numFmtId="0" fontId="56" fillId="0" borderId="0" xfId="0" applyFont="1"/>
    <xf numFmtId="0" fontId="56" fillId="0" borderId="0" xfId="0" applyFont="1" applyAlignment="1">
      <alignment horizontal="left" wrapText="1"/>
    </xf>
    <xf numFmtId="0" fontId="46" fillId="0" borderId="0" xfId="0" applyFont="1" applyAlignment="1">
      <alignment horizontal="center" vertical="center"/>
    </xf>
    <xf numFmtId="0" fontId="46" fillId="0" borderId="0" xfId="0" applyFont="1"/>
    <xf numFmtId="0" fontId="46" fillId="0" borderId="0" xfId="0" applyFont="1" applyAlignment="1">
      <alignment horizontal="center" vertical="center" wrapText="1"/>
    </xf>
    <xf numFmtId="0" fontId="46" fillId="0" borderId="0" xfId="0" applyFont="1" applyAlignment="1">
      <alignment vertical="center" wrapText="1"/>
    </xf>
    <xf numFmtId="0" fontId="58" fillId="0" borderId="0" xfId="0" applyFont="1" applyAlignment="1">
      <alignment horizontal="center" vertical="center"/>
    </xf>
    <xf numFmtId="14" fontId="58" fillId="0" borderId="0" xfId="0" applyNumberFormat="1" applyFont="1" applyAlignment="1">
      <alignment horizontal="center" vertical="center"/>
    </xf>
    <xf numFmtId="0" fontId="58" fillId="0" borderId="0" xfId="0" applyFont="1" applyAlignment="1">
      <alignment vertical="center" wrapText="1"/>
    </xf>
    <xf numFmtId="0" fontId="58" fillId="0" borderId="0" xfId="0" applyFont="1" applyAlignment="1">
      <alignment horizontal="center" vertical="center" wrapText="1"/>
    </xf>
    <xf numFmtId="0" fontId="9" fillId="5" borderId="0" xfId="0" applyFont="1" applyFill="1"/>
    <xf numFmtId="49" fontId="40" fillId="7" borderId="1" xfId="0" applyNumberFormat="1" applyFont="1" applyFill="1" applyBorder="1" applyAlignment="1">
      <alignment horizontal="center" vertical="center"/>
    </xf>
    <xf numFmtId="164" fontId="43" fillId="7" borderId="1" xfId="2" applyNumberFormat="1" applyFont="1" applyFill="1" applyBorder="1" applyAlignment="1">
      <alignment horizontal="right"/>
    </xf>
    <xf numFmtId="0" fontId="13" fillId="7" borderId="0" xfId="0" applyFont="1" applyFill="1"/>
    <xf numFmtId="0" fontId="59" fillId="0" borderId="1" xfId="0" applyFont="1" applyBorder="1" applyAlignment="1">
      <alignment horizontal="center" vertical="center" wrapText="1"/>
    </xf>
    <xf numFmtId="4" fontId="59" fillId="0" borderId="1" xfId="0" applyNumberFormat="1" applyFont="1" applyBorder="1" applyAlignment="1">
      <alignment horizontal="right" vertical="center" wrapText="1"/>
    </xf>
    <xf numFmtId="165" fontId="59" fillId="0" borderId="1" xfId="0" applyNumberFormat="1" applyFont="1" applyBorder="1" applyAlignment="1">
      <alignment horizontal="center" vertical="center" wrapText="1"/>
    </xf>
    <xf numFmtId="0" fontId="59" fillId="0" borderId="1" xfId="0" applyFont="1" applyBorder="1" applyAlignment="1">
      <alignment horizontal="left" vertical="center" wrapText="1"/>
    </xf>
    <xf numFmtId="49" fontId="40" fillId="6" borderId="1" xfId="0" applyNumberFormat="1" applyFont="1" applyFill="1" applyBorder="1" applyAlignment="1">
      <alignment horizontal="center" vertical="center"/>
    </xf>
    <xf numFmtId="0" fontId="43" fillId="6" borderId="1" xfId="0" applyFont="1" applyFill="1" applyBorder="1" applyAlignment="1">
      <alignment horizontal="center" vertical="center" wrapText="1"/>
    </xf>
    <xf numFmtId="9" fontId="40" fillId="6" borderId="1" xfId="2" applyFont="1" applyFill="1" applyBorder="1" applyAlignment="1">
      <alignment horizontal="right"/>
    </xf>
    <xf numFmtId="0" fontId="48" fillId="2" borderId="14"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61" fillId="0" borderId="5" xfId="0" applyFont="1" applyBorder="1" applyAlignment="1">
      <alignment horizontal="center" vertical="center" wrapText="1"/>
    </xf>
    <xf numFmtId="0" fontId="48" fillId="2" borderId="15" xfId="0" applyFont="1" applyFill="1" applyBorder="1" applyAlignment="1">
      <alignment horizontal="center" vertical="center" wrapText="1"/>
    </xf>
    <xf numFmtId="0" fontId="50" fillId="0" borderId="0" xfId="0" applyFont="1" applyAlignment="1">
      <alignment vertical="center" wrapText="1"/>
    </xf>
    <xf numFmtId="0" fontId="62" fillId="0" borderId="1" xfId="0" applyFont="1" applyBorder="1" applyAlignment="1">
      <alignment horizontal="center" vertical="center" wrapText="1"/>
    </xf>
    <xf numFmtId="0" fontId="62" fillId="0" borderId="1" xfId="0" applyFont="1" applyBorder="1" applyAlignment="1">
      <alignment horizontal="left" vertical="center" wrapText="1"/>
    </xf>
    <xf numFmtId="4" fontId="62" fillId="0" borderId="1" xfId="0" applyNumberFormat="1" applyFont="1" applyBorder="1" applyAlignment="1">
      <alignment horizontal="right" vertical="center" wrapText="1"/>
    </xf>
    <xf numFmtId="165" fontId="62" fillId="0" borderId="1" xfId="0" applyNumberFormat="1" applyFont="1" applyBorder="1" applyAlignment="1">
      <alignment horizontal="center" vertical="center" wrapText="1"/>
    </xf>
    <xf numFmtId="0" fontId="62" fillId="0" borderId="1" xfId="0" applyFont="1" applyBorder="1" applyAlignment="1">
      <alignment horizontal="left" vertical="top" wrapText="1"/>
    </xf>
    <xf numFmtId="0" fontId="63" fillId="0" borderId="1" xfId="0" applyFont="1" applyBorder="1" applyAlignment="1">
      <alignment horizontal="center" vertical="center" wrapText="1"/>
    </xf>
    <xf numFmtId="0" fontId="59" fillId="0" borderId="1" xfId="0" applyFont="1" applyBorder="1" applyAlignment="1">
      <alignment horizontal="left" vertical="top" wrapText="1"/>
    </xf>
    <xf numFmtId="0" fontId="64" fillId="0" borderId="1" xfId="0" applyFont="1" applyBorder="1" applyAlignment="1">
      <alignment horizontal="center" vertical="center" wrapText="1"/>
    </xf>
    <xf numFmtId="166" fontId="60" fillId="0" borderId="1" xfId="0" applyNumberFormat="1" applyFont="1" applyBorder="1" applyAlignment="1" applyProtection="1">
      <alignment vertical="center" wrapText="1"/>
      <protection locked="0"/>
    </xf>
    <xf numFmtId="166" fontId="59" fillId="0" borderId="1" xfId="0" applyNumberFormat="1" applyFont="1" applyBorder="1" applyAlignment="1">
      <alignment horizontal="right" vertical="center" wrapText="1"/>
    </xf>
    <xf numFmtId="0" fontId="65" fillId="0" borderId="1" xfId="0" applyFont="1" applyBorder="1" applyAlignment="1">
      <alignment horizontal="center" vertical="center" wrapText="1"/>
    </xf>
    <xf numFmtId="49" fontId="65" fillId="0" borderId="1" xfId="0" applyNumberFormat="1" applyFont="1" applyBorder="1" applyAlignment="1">
      <alignment horizontal="center" vertical="center"/>
    </xf>
    <xf numFmtId="9" fontId="65" fillId="0" borderId="1" xfId="2" applyFont="1" applyFill="1" applyBorder="1" applyAlignment="1">
      <alignment horizontal="right" vertical="center" wrapText="1"/>
    </xf>
    <xf numFmtId="0" fontId="58" fillId="0" borderId="0" xfId="0" applyFont="1" applyAlignment="1">
      <alignment horizontal="center"/>
    </xf>
    <xf numFmtId="0" fontId="58" fillId="0" borderId="0" xfId="0" applyFont="1" applyAlignment="1">
      <alignment horizontal="center" wrapText="1"/>
    </xf>
    <xf numFmtId="0" fontId="46" fillId="0" borderId="0" xfId="0" applyFont="1" applyAlignment="1">
      <alignment horizontal="center"/>
    </xf>
    <xf numFmtId="0" fontId="46" fillId="0" borderId="0" xfId="0" applyFont="1" applyAlignment="1">
      <alignment horizontal="left" wrapText="1"/>
    </xf>
    <xf numFmtId="0" fontId="64" fillId="0" borderId="1" xfId="0" applyFont="1" applyBorder="1" applyAlignment="1">
      <alignment horizontal="left" vertical="center" wrapText="1"/>
    </xf>
    <xf numFmtId="165" fontId="64" fillId="0" borderId="1" xfId="0" applyNumberFormat="1" applyFont="1" applyBorder="1" applyAlignment="1">
      <alignment horizontal="center" vertical="center" wrapText="1"/>
    </xf>
    <xf numFmtId="0" fontId="67" fillId="6" borderId="0" xfId="0" applyFont="1" applyFill="1"/>
    <xf numFmtId="0" fontId="67" fillId="7" borderId="0" xfId="0" applyFont="1" applyFill="1"/>
    <xf numFmtId="0" fontId="67" fillId="0" borderId="0" xfId="0" applyFont="1"/>
    <xf numFmtId="0" fontId="68" fillId="0" borderId="1" xfId="0" applyFont="1" applyBorder="1" applyAlignment="1">
      <alignment horizontal="center" vertical="center" wrapText="1"/>
    </xf>
    <xf numFmtId="0" fontId="65" fillId="0" borderId="1" xfId="0" applyFont="1" applyBorder="1" applyAlignment="1">
      <alignment horizontal="right" vertical="center" wrapText="1"/>
    </xf>
    <xf numFmtId="0" fontId="50" fillId="0" borderId="1" xfId="0" applyFont="1" applyBorder="1" applyAlignment="1">
      <alignment horizontal="center" vertical="center" wrapText="1"/>
    </xf>
    <xf numFmtId="0" fontId="50" fillId="0" borderId="1" xfId="0" applyFont="1" applyBorder="1" applyAlignment="1">
      <alignment horizontal="left" vertical="center" wrapText="1"/>
    </xf>
    <xf numFmtId="4" fontId="50" fillId="0" borderId="1" xfId="0" applyNumberFormat="1" applyFont="1" applyBorder="1" applyAlignment="1">
      <alignment horizontal="right" vertical="center" wrapText="1"/>
    </xf>
    <xf numFmtId="4" fontId="50" fillId="0" borderId="1" xfId="0" applyNumberFormat="1" applyFont="1" applyBorder="1" applyAlignment="1" applyProtection="1">
      <alignment horizontal="right" vertical="center" wrapText="1"/>
      <protection locked="0"/>
    </xf>
    <xf numFmtId="165" fontId="50" fillId="0" borderId="1"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10" xfId="0" applyFont="1" applyBorder="1" applyAlignment="1">
      <alignment horizontal="left" vertical="center" wrapText="1"/>
    </xf>
    <xf numFmtId="4" fontId="50" fillId="0" borderId="10" xfId="0" applyNumberFormat="1" applyFont="1" applyBorder="1" applyAlignment="1">
      <alignment horizontal="right" vertical="center" wrapText="1"/>
    </xf>
    <xf numFmtId="4" fontId="50" fillId="0" borderId="10" xfId="0" applyNumberFormat="1" applyFont="1" applyBorder="1" applyAlignment="1" applyProtection="1">
      <alignment horizontal="right" vertical="center" wrapText="1"/>
      <protection locked="0"/>
    </xf>
    <xf numFmtId="4" fontId="47" fillId="0" borderId="1" xfId="0" applyNumberFormat="1" applyFont="1" applyBorder="1" applyAlignment="1">
      <alignment horizontal="right" vertical="center" wrapText="1"/>
    </xf>
    <xf numFmtId="0" fontId="50" fillId="7" borderId="1" xfId="0" applyFont="1" applyFill="1" applyBorder="1" applyAlignment="1">
      <alignment horizontal="center" vertical="center" wrapText="1"/>
    </xf>
    <xf numFmtId="0" fontId="50" fillId="7" borderId="1" xfId="0" applyFont="1" applyFill="1" applyBorder="1" applyAlignment="1">
      <alignment horizontal="left" vertical="center" wrapText="1"/>
    </xf>
    <xf numFmtId="4" fontId="50" fillId="7" borderId="1" xfId="0" applyNumberFormat="1" applyFont="1" applyFill="1" applyBorder="1" applyAlignment="1">
      <alignment horizontal="right" vertical="center" wrapText="1"/>
    </xf>
    <xf numFmtId="4" fontId="50" fillId="7" borderId="1" xfId="0" applyNumberFormat="1" applyFont="1" applyFill="1" applyBorder="1" applyAlignment="1" applyProtection="1">
      <alignment horizontal="right" vertical="center" wrapText="1"/>
      <protection locked="0"/>
    </xf>
    <xf numFmtId="0" fontId="64" fillId="7" borderId="1" xfId="0" applyFont="1" applyFill="1" applyBorder="1" applyAlignment="1">
      <alignment horizontal="center" vertical="center" wrapText="1"/>
    </xf>
    <xf numFmtId="165" fontId="64" fillId="0" borderId="10" xfId="0" applyNumberFormat="1" applyFont="1" applyBorder="1" applyAlignment="1">
      <alignment horizontal="center" vertical="center" wrapText="1"/>
    </xf>
    <xf numFmtId="0" fontId="64" fillId="0" borderId="3" xfId="0" applyFont="1" applyBorder="1" applyAlignment="1">
      <alignment horizontal="left" vertical="center" wrapText="1"/>
    </xf>
    <xf numFmtId="4" fontId="64" fillId="0" borderId="1" xfId="0" applyNumberFormat="1" applyFont="1" applyBorder="1" applyAlignment="1">
      <alignment horizontal="right" vertical="center" wrapText="1"/>
    </xf>
    <xf numFmtId="0" fontId="54" fillId="0" borderId="0" xfId="0" applyFont="1" applyAlignment="1">
      <alignment horizontal="center" vertical="center"/>
    </xf>
    <xf numFmtId="4" fontId="50" fillId="0" borderId="1" xfId="0" applyNumberFormat="1" applyFont="1" applyBorder="1" applyAlignment="1" applyProtection="1">
      <alignment vertical="center" wrapText="1"/>
      <protection locked="0"/>
    </xf>
    <xf numFmtId="4" fontId="50" fillId="0" borderId="6" xfId="0" applyNumberFormat="1" applyFont="1" applyBorder="1" applyAlignment="1">
      <alignment horizontal="right" vertical="center" wrapText="1"/>
    </xf>
    <xf numFmtId="165" fontId="50" fillId="0" borderId="10" xfId="0" applyNumberFormat="1" applyFont="1" applyBorder="1" applyAlignment="1">
      <alignment horizontal="center" vertical="center" wrapText="1"/>
    </xf>
    <xf numFmtId="165" fontId="64" fillId="7" borderId="1" xfId="0" applyNumberFormat="1" applyFont="1" applyFill="1" applyBorder="1" applyAlignment="1">
      <alignment horizontal="center" vertical="center" wrapText="1"/>
    </xf>
    <xf numFmtId="0" fontId="54" fillId="0" borderId="0" xfId="0" applyFont="1"/>
    <xf numFmtId="0" fontId="71" fillId="0" borderId="0" xfId="0" applyFont="1"/>
    <xf numFmtId="0" fontId="4" fillId="0" borderId="4" xfId="0" applyFont="1" applyFill="1" applyBorder="1" applyAlignment="1">
      <alignment horizontal="center" vertical="center" wrapText="1"/>
    </xf>
    <xf numFmtId="0" fontId="5" fillId="7" borderId="4" xfId="0" applyFont="1" applyFill="1" applyBorder="1" applyAlignment="1">
      <alignment horizontal="left" vertical="center" wrapText="1"/>
    </xf>
    <xf numFmtId="0" fontId="5" fillId="7" borderId="1" xfId="0" applyFont="1" applyFill="1" applyBorder="1"/>
    <xf numFmtId="0" fontId="5" fillId="7" borderId="16" xfId="0" applyFont="1" applyFill="1" applyBorder="1"/>
    <xf numFmtId="0" fontId="50" fillId="0" borderId="0" xfId="0" applyFont="1" applyAlignment="1">
      <alignment horizontal="center" vertical="center" wrapText="1"/>
    </xf>
    <xf numFmtId="0" fontId="50" fillId="0" borderId="0" xfId="0" applyFont="1" applyAlignment="1">
      <alignment horizontal="center" vertical="center"/>
    </xf>
    <xf numFmtId="0" fontId="50" fillId="0" borderId="0" xfId="0" applyFont="1" applyAlignment="1">
      <alignment horizontal="center"/>
    </xf>
    <xf numFmtId="0" fontId="50" fillId="0" borderId="0" xfId="0" applyFont="1" applyAlignment="1">
      <alignment horizontal="center" wrapText="1"/>
    </xf>
    <xf numFmtId="0" fontId="50" fillId="0" borderId="0" xfId="0" applyFont="1" applyAlignment="1">
      <alignment horizontal="left" wrapText="1"/>
    </xf>
    <xf numFmtId="4" fontId="59" fillId="0" borderId="1" xfId="0" applyNumberFormat="1" applyFont="1" applyFill="1" applyBorder="1" applyAlignment="1" applyProtection="1">
      <alignment horizontal="right" vertical="center" wrapText="1"/>
    </xf>
    <xf numFmtId="0" fontId="59" fillId="0" borderId="1" xfId="0" applyNumberFormat="1" applyFont="1" applyFill="1" applyBorder="1" applyAlignment="1" applyProtection="1">
      <alignment horizontal="left" vertical="center" wrapText="1"/>
    </xf>
    <xf numFmtId="4" fontId="50" fillId="0" borderId="1" xfId="0" applyNumberFormat="1" applyFont="1" applyFill="1" applyBorder="1" applyAlignment="1" applyProtection="1">
      <alignment horizontal="right" vertical="center" wrapText="1"/>
    </xf>
    <xf numFmtId="0" fontId="59" fillId="0" borderId="1" xfId="0" applyNumberFormat="1" applyFont="1" applyFill="1" applyBorder="1" applyAlignment="1" applyProtection="1">
      <alignment horizontal="center" vertical="center" wrapText="1"/>
    </xf>
    <xf numFmtId="0" fontId="59" fillId="0" borderId="1" xfId="0" applyNumberFormat="1" applyFont="1" applyFill="1" applyBorder="1" applyAlignment="1" applyProtection="1">
      <alignment wrapText="1"/>
      <protection locked="0"/>
    </xf>
    <xf numFmtId="0" fontId="59" fillId="0" borderId="1" xfId="0" applyNumberFormat="1" applyFont="1" applyFill="1" applyBorder="1" applyAlignment="1" applyProtection="1">
      <alignment horizontal="right" vertical="center" wrapText="1"/>
    </xf>
    <xf numFmtId="165" fontId="59" fillId="0" borderId="1" xfId="0" applyNumberFormat="1" applyFont="1" applyFill="1" applyBorder="1" applyAlignment="1" applyProtection="1">
      <alignment horizontal="center" vertical="center" wrapText="1"/>
    </xf>
    <xf numFmtId="4" fontId="67" fillId="0" borderId="17" xfId="0" applyNumberFormat="1" applyFont="1" applyBorder="1" applyAlignment="1">
      <alignment horizontal="right" vertical="center" wrapText="1"/>
    </xf>
    <xf numFmtId="166" fontId="50" fillId="0" borderId="1" xfId="0" applyNumberFormat="1" applyFont="1" applyBorder="1" applyAlignment="1" applyProtection="1">
      <alignment vertical="center" wrapText="1"/>
      <protection locked="0"/>
    </xf>
    <xf numFmtId="166" fontId="50" fillId="0" borderId="1" xfId="0" applyNumberFormat="1" applyFont="1" applyBorder="1" applyAlignment="1">
      <alignment horizontal="right" vertical="center" wrapText="1"/>
    </xf>
    <xf numFmtId="166" fontId="50" fillId="0" borderId="1" xfId="0" applyNumberFormat="1" applyFont="1" applyBorder="1" applyAlignment="1">
      <alignment horizontal="left" vertical="center" wrapText="1"/>
    </xf>
    <xf numFmtId="0" fontId="50" fillId="0" borderId="17" xfId="0" applyFont="1" applyBorder="1" applyAlignment="1">
      <alignment horizontal="center" vertical="center" wrapText="1"/>
    </xf>
    <xf numFmtId="0" fontId="72" fillId="0" borderId="1" xfId="0" applyNumberFormat="1" applyFont="1" applyFill="1" applyBorder="1" applyAlignment="1" applyProtection="1">
      <alignment horizontal="left" vertical="center" wrapText="1"/>
    </xf>
    <xf numFmtId="0" fontId="73" fillId="0" borderId="1" xfId="0" applyNumberFormat="1" applyFont="1" applyFill="1" applyBorder="1" applyAlignment="1">
      <alignment horizontal="center" vertical="center" wrapText="1"/>
    </xf>
    <xf numFmtId="0" fontId="73" fillId="0" borderId="1" xfId="0" applyFont="1" applyFill="1" applyBorder="1" applyAlignment="1">
      <alignment horizontal="center" vertical="center" wrapText="1"/>
    </xf>
    <xf numFmtId="49" fontId="73" fillId="0" borderId="1" xfId="0" applyNumberFormat="1" applyFont="1" applyFill="1" applyBorder="1" applyAlignment="1">
      <alignment horizontal="center" vertical="center"/>
    </xf>
    <xf numFmtId="0" fontId="74" fillId="0" borderId="1" xfId="0" applyFont="1" applyFill="1" applyBorder="1" applyAlignment="1">
      <alignment horizontal="center" vertical="center" wrapText="1"/>
    </xf>
    <xf numFmtId="0" fontId="43" fillId="0" borderId="1" xfId="0" applyFont="1" applyFill="1" applyBorder="1" applyAlignment="1">
      <alignment horizontal="center" vertical="center"/>
    </xf>
    <xf numFmtId="0" fontId="73" fillId="0" borderId="1" xfId="0" applyFont="1" applyFill="1" applyBorder="1" applyAlignment="1">
      <alignment horizontal="right" vertical="center" wrapText="1"/>
    </xf>
    <xf numFmtId="0" fontId="59" fillId="0" borderId="1" xfId="0" applyNumberFormat="1" applyFont="1" applyFill="1" applyBorder="1" applyAlignment="1" applyProtection="1">
      <alignment horizontal="left" vertical="top" wrapText="1"/>
    </xf>
    <xf numFmtId="0" fontId="50" fillId="0" borderId="1" xfId="0" applyNumberFormat="1" applyFont="1" applyFill="1" applyBorder="1" applyAlignment="1" applyProtection="1">
      <alignment horizontal="left" vertical="center" wrapText="1"/>
    </xf>
    <xf numFmtId="0" fontId="50" fillId="0" borderId="1" xfId="0" applyNumberFormat="1" applyFont="1" applyFill="1" applyBorder="1" applyAlignment="1" applyProtection="1">
      <alignment horizontal="center" vertical="center" wrapText="1"/>
    </xf>
    <xf numFmtId="165" fontId="50" fillId="0" borderId="1" xfId="0" applyNumberFormat="1" applyFont="1" applyFill="1" applyBorder="1" applyAlignment="1" applyProtection="1">
      <alignment horizontal="center" vertical="center" wrapText="1"/>
    </xf>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Alignment="1">
      <alignment horizontal="center" vertical="center"/>
    </xf>
    <xf numFmtId="0" fontId="47"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0" fillId="0" borderId="10" xfId="0" applyNumberFormat="1" applyFont="1" applyFill="1" applyBorder="1" applyAlignment="1" applyProtection="1">
      <alignment horizontal="center" vertical="center" wrapText="1"/>
    </xf>
    <xf numFmtId="0" fontId="50" fillId="0" borderId="10" xfId="0" applyNumberFormat="1" applyFont="1" applyFill="1" applyBorder="1" applyAlignment="1" applyProtection="1">
      <alignment horizontal="left" vertical="center" wrapText="1"/>
    </xf>
    <xf numFmtId="4" fontId="50" fillId="0" borderId="10" xfId="0" applyNumberFormat="1" applyFont="1" applyFill="1" applyBorder="1" applyAlignment="1" applyProtection="1">
      <alignment horizontal="right" vertical="center" wrapText="1"/>
    </xf>
    <xf numFmtId="165" fontId="50" fillId="0" borderId="10" xfId="0" applyNumberFormat="1" applyFont="1" applyFill="1" applyBorder="1" applyAlignment="1" applyProtection="1">
      <alignment horizontal="center" vertical="center" wrapText="1"/>
    </xf>
    <xf numFmtId="165" fontId="50" fillId="0" borderId="18" xfId="0" applyNumberFormat="1" applyFont="1" applyBorder="1" applyAlignment="1">
      <alignment horizontal="center" vertical="center" wrapText="1"/>
    </xf>
    <xf numFmtId="4" fontId="50" fillId="0" borderId="1" xfId="0" applyNumberFormat="1" applyFont="1" applyFill="1" applyBorder="1" applyAlignment="1" applyProtection="1">
      <alignment horizontal="center" vertical="center" wrapText="1"/>
    </xf>
    <xf numFmtId="4" fontId="50" fillId="0" borderId="17" xfId="0" applyNumberFormat="1" applyFont="1" applyBorder="1" applyAlignment="1">
      <alignment horizontal="right" vertical="center" wrapText="1"/>
    </xf>
    <xf numFmtId="0" fontId="64" fillId="0" borderId="1" xfId="0" applyNumberFormat="1" applyFont="1" applyFill="1" applyBorder="1" applyAlignment="1" applyProtection="1">
      <alignment horizontal="center" vertical="center" wrapText="1"/>
    </xf>
    <xf numFmtId="0" fontId="50" fillId="6" borderId="1" xfId="0" applyFont="1" applyFill="1" applyBorder="1" applyAlignment="1">
      <alignment horizontal="center" vertical="center" wrapText="1"/>
    </xf>
    <xf numFmtId="0" fontId="50" fillId="6" borderId="1" xfId="0" applyFont="1" applyFill="1" applyBorder="1" applyAlignment="1">
      <alignment horizontal="left" vertical="center" wrapText="1"/>
    </xf>
    <xf numFmtId="0" fontId="64" fillId="0" borderId="0" xfId="0" applyNumberFormat="1" applyFont="1" applyFill="1" applyBorder="1" applyAlignment="1" applyProtection="1">
      <alignment horizontal="center" vertical="center" wrapText="1"/>
    </xf>
    <xf numFmtId="0" fontId="64" fillId="0" borderId="0" xfId="0" applyNumberFormat="1" applyFont="1" applyFill="1" applyBorder="1" applyAlignment="1" applyProtection="1">
      <alignment horizontal="left" vertical="center" wrapText="1"/>
    </xf>
    <xf numFmtId="4" fontId="64" fillId="0" borderId="0" xfId="0" applyNumberFormat="1" applyFont="1" applyFill="1" applyBorder="1" applyAlignment="1" applyProtection="1">
      <alignment horizontal="right" vertical="center" wrapText="1"/>
    </xf>
    <xf numFmtId="165" fontId="64" fillId="0" borderId="0" xfId="0" applyNumberFormat="1" applyFont="1" applyFill="1" applyBorder="1" applyAlignment="1" applyProtection="1">
      <alignment horizontal="center" vertical="center" wrapText="1"/>
    </xf>
    <xf numFmtId="4" fontId="64" fillId="0" borderId="1" xfId="0" applyNumberFormat="1" applyFont="1" applyBorder="1" applyAlignment="1" applyProtection="1">
      <alignment vertical="center" wrapText="1"/>
      <protection locked="0"/>
    </xf>
    <xf numFmtId="0" fontId="54" fillId="0" borderId="0" xfId="0" applyFont="1" applyAlignment="1">
      <alignment horizontal="center" vertical="center"/>
    </xf>
    <xf numFmtId="0" fontId="46" fillId="0" borderId="0" xfId="0" applyFont="1" applyAlignment="1">
      <alignment horizontal="center" vertical="center" wrapText="1"/>
    </xf>
    <xf numFmtId="0" fontId="51" fillId="0" borderId="0" xfId="0" applyFont="1" applyAlignment="1">
      <alignment horizontal="center" vertical="center"/>
    </xf>
    <xf numFmtId="0" fontId="51" fillId="0" borderId="0" xfId="0" applyFont="1" applyAlignment="1">
      <alignment horizontal="center" vertical="top" wrapText="1"/>
    </xf>
    <xf numFmtId="0" fontId="58" fillId="0" borderId="0" xfId="0" applyFont="1" applyAlignment="1">
      <alignment horizontal="center" vertical="center" wrapText="1"/>
    </xf>
    <xf numFmtId="0" fontId="58" fillId="0" borderId="0" xfId="0" applyFont="1" applyAlignment="1">
      <alignment horizontal="center"/>
    </xf>
    <xf numFmtId="0" fontId="58" fillId="0" borderId="0" xfId="0" applyFont="1" applyAlignment="1">
      <alignment horizontal="center" vertical="center"/>
    </xf>
    <xf numFmtId="0" fontId="54" fillId="0" borderId="0" xfId="0" applyFont="1" applyAlignment="1">
      <alignment horizontal="center" wrapText="1"/>
    </xf>
    <xf numFmtId="0" fontId="54" fillId="0" borderId="0" xfId="0" applyFont="1" applyAlignment="1">
      <alignment horizontal="center"/>
    </xf>
    <xf numFmtId="0" fontId="57" fillId="0" borderId="0" xfId="0" applyFont="1" applyAlignment="1">
      <alignment horizontal="center" vertical="center"/>
    </xf>
    <xf numFmtId="0" fontId="17" fillId="0" borderId="0" xfId="0" applyFont="1" applyAlignment="1">
      <alignment horizontal="center"/>
    </xf>
    <xf numFmtId="0" fontId="53" fillId="0" borderId="0" xfId="0" applyFont="1" applyAlignment="1">
      <alignment horizontal="center" vertical="center"/>
    </xf>
    <xf numFmtId="0" fontId="70" fillId="0" borderId="0" xfId="0" applyFont="1" applyAlignment="1">
      <alignment horizontal="center" vertical="center"/>
    </xf>
    <xf numFmtId="0" fontId="50" fillId="0" borderId="0" xfId="0" applyFont="1" applyAlignment="1">
      <alignment horizontal="center" vertical="center"/>
    </xf>
    <xf numFmtId="0" fontId="66" fillId="0" borderId="0" xfId="0" applyFont="1" applyAlignment="1">
      <alignment horizontal="center"/>
    </xf>
    <xf numFmtId="0" fontId="50" fillId="0" borderId="0" xfId="0" applyFont="1" applyAlignment="1">
      <alignment horizontal="center" vertical="center" wrapText="1"/>
    </xf>
    <xf numFmtId="0" fontId="24" fillId="0" borderId="0" xfId="0" applyFont="1" applyAlignment="1">
      <alignment horizontal="center"/>
    </xf>
    <xf numFmtId="0" fontId="50" fillId="0" borderId="0" xfId="0" applyFont="1" applyAlignment="1">
      <alignment horizontal="center"/>
    </xf>
    <xf numFmtId="0" fontId="36" fillId="0" borderId="0" xfId="0" applyFont="1" applyAlignment="1">
      <alignment horizontal="center"/>
    </xf>
    <xf numFmtId="0" fontId="47" fillId="0" borderId="0" xfId="0" applyFont="1" applyAlignment="1">
      <alignment horizontal="center" vertical="center"/>
    </xf>
    <xf numFmtId="0" fontId="34" fillId="0" borderId="0" xfId="0" applyFont="1" applyAlignment="1">
      <alignment horizontal="center" vertical="center"/>
    </xf>
    <xf numFmtId="0" fontId="48" fillId="0" borderId="0" xfId="0" applyFont="1" applyAlignment="1">
      <alignment horizontal="center" vertical="center" wrapText="1"/>
    </xf>
    <xf numFmtId="0" fontId="48" fillId="0" borderId="0" xfId="0" applyFont="1" applyAlignment="1">
      <alignment horizontal="center" vertical="center"/>
    </xf>
    <xf numFmtId="0" fontId="47" fillId="0" borderId="0" xfId="0" applyFont="1" applyAlignment="1">
      <alignment horizontal="center" vertical="top"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xf>
  </cellXfs>
  <cellStyles count="3">
    <cellStyle name="Normal" xfId="0" builtinId="0"/>
    <cellStyle name="Procent" xfId="2" builtinId="5"/>
    <cellStyle name="Virgulă" xfId="1" builtinId="3"/>
  </cellStyles>
  <dxfs count="230">
    <dxf>
      <font>
        <b val="0"/>
        <i val="0"/>
        <strike val="0"/>
        <condense val="0"/>
        <extend val="0"/>
        <outline val="0"/>
        <shadow val="0"/>
        <u val="none"/>
        <vertAlign val="baseline"/>
        <sz val="11"/>
        <color auto="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theme="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none">
          <fgColor theme="4"/>
          <bgColor auto="1"/>
        </patternFill>
      </fill>
      <alignment horizontal="general" vertical="center" textRotation="0" wrapText="0" indent="0" justifyLastLine="0" shrinkToFit="0" readingOrder="0"/>
    </dxf>
    <dxf>
      <fill>
        <patternFill patternType="none">
          <bgColor auto="1"/>
        </patternFill>
      </fill>
    </dxf>
    <dxf>
      <fill>
        <patternFill patternType="solid">
          <fgColor indexed="64"/>
          <bgColor theme="7" tint="0.79998168889431442"/>
        </patternFill>
      </fill>
    </dxf>
    <dxf>
      <fill>
        <patternFill patternType="solid">
          <fgColor indexed="64"/>
          <bgColor theme="7" tint="0.79998168889431442"/>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strike val="0"/>
        <color theme="1"/>
      </font>
      <fill>
        <patternFill>
          <bgColor rgb="FFFFC7CE"/>
        </patternFill>
      </fill>
    </dxf>
    <dxf>
      <font>
        <color theme="0"/>
      </font>
      <fill>
        <patternFill>
          <bgColor rgb="FFFFC7CE"/>
        </patternFill>
      </fill>
    </dxf>
    <dxf>
      <font>
        <color rgb="FF9C0006"/>
      </font>
      <fill>
        <patternFill>
          <bgColor rgb="FFFFC7CE"/>
        </patternFill>
      </fill>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vertical="bottom"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0" readingOrder="0"/>
    </dxf>
    <dxf>
      <alignment wrapText="1" readingOrder="0"/>
    </dxf>
    <dxf>
      <alignment wrapText="1" readingOrder="0"/>
    </dxf>
    <dxf>
      <alignment wrapText="1" readingOrder="0"/>
    </dxf>
    <dxf>
      <alignment wrapText="1" readingOrder="0"/>
    </dxf>
    <dxf>
      <alignment wrapText="0" readingOrder="0"/>
    </dxf>
    <dxf>
      <alignment wrapText="1" readingOrder="0"/>
    </dxf>
    <dxf>
      <numFmt numFmtId="164" formatCode="_-* #,##0.00\ _l_e_i_-;\-* #,##0.00\ _l_e_i_-;_-* &quot;-&quot;??\ _l_e_i_-;_-@_-"/>
    </dxf>
    <dxf>
      <numFmt numFmtId="164" formatCode="_-* #,##0.00\ _l_e_i_-;\-* #,##0.00\ _l_e_i_-;_-* &quot;-&quot;??\ _l_e_i_-;_-@_-"/>
    </dxf>
    <dxf>
      <font>
        <b val="0"/>
        <i val="0"/>
        <strike val="0"/>
        <condense val="0"/>
        <extend val="0"/>
        <outline val="0"/>
        <shadow val="0"/>
        <u val="none"/>
        <vertAlign val="baseline"/>
        <sz val="11"/>
        <color auto="1"/>
        <name val="Calibri"/>
        <scheme val="none"/>
      </font>
      <numFmt numFmtId="30" formatCode="@"/>
      <alignment horizontal="center" vertical="center" textRotation="0" wrapText="1" indent="0" justifyLastLine="0" shrinkToFit="0" readingOrder="0"/>
      <border diagonalUp="0" diagonalDown="0" outline="0">
        <left/>
        <right/>
        <top/>
        <bottom/>
      </border>
    </dxf>
    <dxf>
      <font>
        <strike val="0"/>
        <outline val="0"/>
        <shadow val="0"/>
        <u val="none"/>
        <vertAlign val="baseline"/>
        <color auto="1"/>
        <name val="Calibri"/>
        <scheme val="none"/>
      </font>
      <numFmt numFmtId="30" formatCode="@"/>
    </dxf>
    <dxf>
      <font>
        <b val="0"/>
        <i val="0"/>
        <strike val="0"/>
        <condense val="0"/>
        <extend val="0"/>
        <outline val="0"/>
        <shadow val="0"/>
        <u val="none"/>
        <vertAlign val="baseline"/>
        <sz val="11"/>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7"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7"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4" formatCode="_-* #,##0.00\ _l_e_i_-;\-* #,##0.00\ _l_e_i_-;_-* &quot;-&quot;??\ _l_e_i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4" formatCode="_-* #,##0.00\ _l_e_i_-;\-* #,##0.00\ _l_e_i_-;_-* &quot;-&quot;??\ _l_e_i_-;_-@_-"/>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color auto="1"/>
        <name val="Calibri"/>
        <scheme val="none"/>
      </font>
    </dxf>
    <dxf>
      <border outline="0">
        <left style="thin">
          <color rgb="FF000000"/>
        </left>
        <right style="thin">
          <color rgb="FF9BC2E6"/>
        </right>
      </border>
    </dxf>
    <dxf>
      <font>
        <b/>
        <i val="0"/>
        <strike val="0"/>
        <condense val="0"/>
        <extend val="0"/>
        <outline val="0"/>
        <shadow val="0"/>
        <u val="none"/>
        <vertAlign val="baseline"/>
        <sz val="11"/>
        <color auto="1"/>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20"/>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font>
        <strike val="0"/>
        <outline val="0"/>
        <shadow val="0"/>
        <u val="none"/>
        <vertAlign val="baseline"/>
        <color auto="1"/>
        <name val="Calibri"/>
        <scheme val="minor"/>
      </font>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4"/>
        <color rgb="FF000000"/>
        <name val="Trebuchet MS"/>
        <family val="2"/>
        <scheme val="none"/>
      </font>
      <fill>
        <patternFill patternType="none">
          <fgColor indexed="64"/>
          <bgColor indexed="65"/>
        </patternFill>
      </fill>
      <alignment horizontal="center" vertical="center"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22"/>
        <color auto="1"/>
        <name val="Trebuchet MS"/>
        <family val="2"/>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0"/>
        <color auto="1"/>
        <name val="Calibri"/>
        <scheme val="minor"/>
      </font>
      <alignment textRotation="0" wrapText="0" indent="0" justifyLastLine="0" shrinkToFit="0" readingOrder="0"/>
    </dxf>
    <dxf>
      <border outline="0">
        <left style="thin">
          <color rgb="FF000000"/>
        </left>
        <right style="thin">
          <color theme="4" tint="0.39997558519241921"/>
        </right>
      </border>
    </dxf>
    <dxf>
      <font>
        <strike val="0"/>
        <outline val="0"/>
        <shadow val="0"/>
        <u val="none"/>
        <vertAlign val="baseline"/>
        <sz val="24"/>
        <color auto="1"/>
        <name val="Trebuchet MS"/>
        <family val="2"/>
        <scheme val="none"/>
      </font>
    </dxf>
    <dxf>
      <font>
        <b/>
        <i val="0"/>
        <strike val="0"/>
        <condense val="0"/>
        <extend val="0"/>
        <outline val="0"/>
        <shadow val="0"/>
        <u val="none"/>
        <vertAlign val="baseline"/>
        <sz val="20"/>
        <color auto="1"/>
        <name val="Trebuchet MS"/>
        <family val="2"/>
        <scheme val="none"/>
      </font>
      <fill>
        <patternFill patternType="solid">
          <fgColor theme="4"/>
          <bgColor theme="4"/>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26"/>
        <color auto="1"/>
        <name val="Calibri"/>
        <scheme val="minor"/>
      </font>
      <fill>
        <patternFill patternType="none">
          <bgColor auto="1"/>
        </patternFill>
      </fill>
      <alignment horizontal="righ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26"/>
        <color rgb="FFFF0000"/>
        <name val="Calibri"/>
        <family val="2"/>
        <scheme val="minor"/>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26"/>
        <color rgb="FFFF0000"/>
        <name val="Calibri"/>
        <family val="2"/>
        <scheme val="minor"/>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strike val="0"/>
        <outline val="0"/>
        <shadow val="0"/>
        <u val="none"/>
        <vertAlign val="baseline"/>
        <sz val="26"/>
        <color auto="1"/>
        <name val="Calibri"/>
        <scheme val="minor"/>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strike val="0"/>
        <outline val="0"/>
        <shadow val="0"/>
        <u val="none"/>
        <vertAlign val="baseline"/>
        <sz val="2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6"/>
        <color auto="1"/>
        <name val="Calibri"/>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6"/>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24"/>
        <color rgb="FF000000"/>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24"/>
        <color rgb="FF000000"/>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8"/>
        <color auto="1"/>
        <name val="Calibri"/>
        <scheme val="minor"/>
      </font>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8"/>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color auto="1"/>
        <name val="Calibri"/>
        <scheme val="minor"/>
      </font>
    </dxf>
    <dxf>
      <border outline="0">
        <left style="thin">
          <color rgb="FF000000"/>
        </left>
        <right style="thin">
          <color theme="4" tint="0.39997558519241921"/>
        </right>
      </border>
    </dxf>
    <dxf>
      <font>
        <strike val="0"/>
        <outline val="0"/>
        <shadow val="0"/>
        <u val="none"/>
        <vertAlign val="baseline"/>
        <sz val="26"/>
      </font>
      <fill>
        <patternFill patternType="none">
          <bgColor auto="1"/>
        </patternFill>
      </fill>
    </dxf>
    <dxf>
      <font>
        <b/>
        <i val="0"/>
        <strike val="0"/>
        <condense val="0"/>
        <extend val="0"/>
        <outline val="0"/>
        <shadow val="0"/>
        <u val="none"/>
        <vertAlign val="baseline"/>
        <sz val="26"/>
        <color auto="1"/>
        <name val="Calibri"/>
        <scheme val="minor"/>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89467596" backgroundQuery="1" createdVersion="6" refreshedVersion="6" minRefreshableVersion="3" recordCount="0" supportSubquery="1" supportAdvancedDrill="1" xr:uid="{00000000-000A-0000-FFFF-FFFF00000000}">
  <cacheSource type="external" connectionId="1"/>
  <cacheFields count="7">
    <cacheField name="[Tipul_Procedurii].[Procedura].[Procedura]" caption="Procedura" numFmtId="0" hierarchy="78" level="1">
      <sharedItems containsBlank="1" count="9">
        <s v="AD complexa"/>
        <s v="AD simpla"/>
        <s v="Exceptie art. 30 L98/2016"/>
        <s v="Licitatie deschisa"/>
        <s v="Negociere fara publicare prealabila"/>
        <s v="Procedura proprie"/>
        <s v="Procedura simplificata"/>
        <m u="1"/>
        <s v="Exceptie art. 29 L98/2016" u="1"/>
      </sharedItems>
    </cacheField>
    <cacheField name="[Measures].[Count of Tip procedura]" caption="Count of Tip procedura" numFmtId="0" hierarchy="97" level="32767"/>
    <cacheField name="[Measures].[Count of Tip AD]" caption="Count of Tip AD" numFmtId="0" hierarchy="98" level="32767"/>
    <cacheField name="[Responsabil_achizitie].[Responsabil achizitie].[Responsabil achizitie]" caption="Responsabil achizitie" numFmtId="0" hierarchy="4" level="1">
      <sharedItems count="11">
        <s v="ALEXANDRU Anisia"/>
        <s v="BACNEANU Elena"/>
        <s v="BACNEANU Virginia"/>
        <s v="BUZICA Cristian"/>
        <s v="CIMPEANU Carmen"/>
        <s v="CRETU Anca"/>
        <s v="GHEORGHE Mirela"/>
        <s v="HORIA Alina"/>
        <s v="NEGREA Andrei"/>
        <s v="TEODORESCU Margareta"/>
        <s v="ZLOTEA Liliana"/>
      </sharedItems>
    </cacheField>
    <cacheField name="[Measures].[Count of Tip procedura 2]" caption="Count of Tip procedura 2" numFmtId="0" hierarchy="100" level="32767"/>
    <cacheField name="[Status_lucrare].[Status].[Status]" caption="Status" numFmtId="0" hierarchy="5" level="1">
      <sharedItems containsSemiMixedTypes="0" containsNonDate="0" containsString="0"/>
    </cacheField>
    <cacheField name="[Measures].[Count of Tip procedura 3]" caption="Count of Tip procedura 3" numFmtId="0" hierarchy="102" level="32767"/>
  </cacheFields>
  <cacheHierarchies count="107">
    <cacheHierarchy uniqueName="[Coduri_bugetare].[Cod bugetar]" caption="Cod bugetar" attribute="1" defaultMemberUniqueName="[Coduri_bugetare].[Cod bugetar].[All]" allUniqueName="[Coduri_bugetare].[Cod bugetar].[All]" dimensionUniqueName="[Coduri_bugetare]" displayFolder="" count="0" memberValueDatatype="130" unbalanced="0"/>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0" memberValueDatatype="130" unbalanced="0"/>
    <cacheHierarchy uniqueName="[Investitii].[Investitii]" caption="Investitii" attribute="1" defaultMemberUniqueName="[Investitii].[Investitii].[All]" allUniqueName="[Investitii].[Investitii].[All]" dimensionUniqueName="[Investitii]" displayFolder="" count="0" memberValueDatatype="130" unbalanced="0"/>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2" memberValueDatatype="130" unbalanced="0">
      <fieldsUsage count="2">
        <fieldUsage x="-1"/>
        <fieldUsage x="3"/>
      </fieldsUsage>
    </cacheHierarchy>
    <cacheHierarchy uniqueName="[Status_lucrare].[Status]" caption="Status" attribute="1" defaultMemberUniqueName="[Status_lucrare].[Status].[All]" allUniqueName="[Status_lucrare].[Status].[All]" dimensionUniqueName="[Status_lucrare]" displayFolder="" count="2" memberValueDatatype="130" unbalanced="0">
      <fieldsUsage count="2">
        <fieldUsage x="-1"/>
        <fieldUsage x="5"/>
      </fieldsUsage>
    </cacheHierarchy>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0" memberValueDatatype="130" unbalanced="0"/>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2" memberValueDatatype="130" unbalanced="0">
      <fieldsUsage count="2">
        <fieldUsage x="-1"/>
        <fieldUsage x="0"/>
      </fieldsUsage>
    </cacheHierarchy>
    <cacheHierarchy uniqueName="[Trimestrializare].[Trimestrializare]" caption="Trimestrializare" attribute="1" defaultMemberUniqueName="[Trimestrializare].[Trimestrializare].[All]" allUniqueName="[Trimestrializare].[Trimestrializare].[All]" dimensionUniqueName="[Trimestrializare]" displayFolder="" count="0" memberValueDatatype="130" unbalanced="0"/>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hidden="1">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hidden="1">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hidden="1">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oneField="1" hidden="1">
      <fieldsUsage count="1">
        <fieldUsage x="1"/>
      </fieldsUsage>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oneField="1" hidden="1">
      <fieldsUsage count="1">
        <fieldUsage x="2"/>
      </fieldsUsage>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oneField="1" hidden="1">
      <fieldsUsage count="1">
        <fieldUsage x="4"/>
      </fieldsUsage>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oneField="1" hidden="1">
      <fieldsUsage count="1">
        <fieldUsage x="6"/>
      </fieldsUsage>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hidden="1">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hidden="1">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hidden="1">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90624997" backgroundQuery="1" createdVersion="6" refreshedVersion="6" minRefreshableVersion="3" recordCount="0" supportSubquery="1" supportAdvancedDrill="1" xr:uid="{00000000-000A-0000-FFFF-FFFF01000000}">
  <cacheSource type="external" connectionId="1"/>
  <cacheFields count="7">
    <cacheField name="[Tabel_PAAP2018].[Pus disponibil].[Pus disponibil]" caption="Pus disponibil" numFmtId="0" hierarchy="56" level="1">
      <sharedItems containsSemiMixedTypes="0" containsNonDate="0" containsString="0"/>
    </cacheField>
    <cacheField name="[Coduri_bugetare].[Cod bugetar].[Cod bugetar]" caption="Cod bugetar" numFmtId="0" level="1">
      <sharedItems containsBlank="1" count="18">
        <s v="20.01.01"/>
        <s v="20.01.02"/>
        <s v="20.01.03"/>
        <s v="20.01.04"/>
        <s v="20.01.05"/>
        <s v="20.01.09"/>
        <s v="20.01.30"/>
        <s v="20.04.02"/>
        <s v="20.05.30"/>
        <s v="20.12"/>
        <s v="20.13"/>
        <s v="20.30.02"/>
        <s v="20.30.03"/>
        <s v="20.30.04"/>
        <s v="20.30.30"/>
        <s v="71.01.02"/>
        <s v="71.01.03"/>
        <m/>
      </sharedItems>
    </cacheField>
    <cacheField name="[Disponibil].[Disponibil].[Disponibil]" caption="Disponibil" numFmtId="0" hierarchy="2" level="1">
      <sharedItems containsSemiMixedTypes="0" containsNonDate="0" containsString="0"/>
    </cacheField>
    <cacheField name="[Investitii].[Investitii].[Investitii]" caption="Investitii" numFmtId="0" hierarchy="3" level="1">
      <sharedItems containsSemiMixedTypes="0" containsNonDate="0" containsString="0"/>
    </cacheField>
    <cacheField name="[Measures].[Sum of Valoare estimata  - lei fără TVA -]" caption="Sum of Valoare estimata  - lei fără TVA -" numFmtId="0" hierarchy="93" level="32767"/>
    <cacheField name="[Measures].[Sum of Valoare estimata  - lei fără TVA - 2]" caption="Sum of Valoare estimata  - lei fără TVA - 2" numFmtId="0" hierarchy="94" level="32767"/>
    <cacheField name="[Measures].[Sum of Valoare estimata  - lei fără TVA - 3]" caption="Sum of Valoare estimata  - lei fără TVA - 3" numFmtId="0" hierarchy="95" level="32767"/>
  </cacheFields>
  <cacheHierarchies count="107">
    <cacheHierarchy uniqueName="[Coduri_bugetare].[Cod bugetar]" caption="Cod bugetar" attribute="1" defaultMemberUniqueName="[Coduri_bugetare].[Cod bugetar].[All]" allUniqueName="[Coduri_bugetare].[Cod bugetar].[All]" dimensionUniqueName="[Coduri_bugetare]" displayFolder="" count="2" memberValueDatatype="130" unbalanced="0">
      <fieldsUsage count="2">
        <fieldUsage x="-1"/>
        <fieldUsage x="1"/>
      </fieldsUsage>
    </cacheHierarchy>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2" memberValueDatatype="130" unbalanced="0">
      <fieldsUsage count="2">
        <fieldUsage x="-1"/>
        <fieldUsage x="2"/>
      </fieldsUsage>
    </cacheHierarchy>
    <cacheHierarchy uniqueName="[Investitii].[Investitii]" caption="Investitii" attribute="1" defaultMemberUniqueName="[Investitii].[Investitii].[All]" allUniqueName="[Investitii].[Investitii].[All]" dimensionUniqueName="[Investitii]" displayFolder="" count="2" memberValueDatatype="130" unbalanced="0">
      <fieldsUsage count="2">
        <fieldUsage x="-1"/>
        <fieldUsage x="3"/>
      </fieldsUsage>
    </cacheHierarchy>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0" memberValueDatatype="130" unbalanced="0"/>
    <cacheHierarchy uniqueName="[Status_lucrare].[Status]" caption="Status" attribute="1" defaultMemberUniqueName="[Status_lucrare].[Status].[All]" allUniqueName="[Status_lucrare].[Status].[All]" dimensionUniqueName="[Status_lucrare]" displayFolder="" count="0" memberValueDatatype="130" unbalanced="0"/>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2" memberValueDatatype="130" unbalanced="0">
      <fieldsUsage count="2">
        <fieldUsage x="-1"/>
        <fieldUsage x="0"/>
      </fieldsUsage>
    </cacheHierarchy>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0" memberValueDatatype="130" unbalanced="0"/>
    <cacheHierarchy uniqueName="[Trimestrializare].[Trimestrializare]" caption="Trimestrializare" attribute="1" defaultMemberUniqueName="[Trimestrializare].[Trimestrializare].[All]" allUniqueName="[Trimestrializare].[Trimestrializare].[All]" dimensionUniqueName="[Trimestrializare]" displayFolder="" count="0" memberValueDatatype="130" unbalanced="0"/>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oneField="1" hidden="1">
      <fieldsUsage count="1">
        <fieldUsage x="4"/>
      </fieldsUsage>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oneField="1" hidden="1">
      <fieldsUsage count="1">
        <fieldUsage x="5"/>
      </fieldsUsage>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oneField="1" hidden="1">
      <fieldsUsage count="1">
        <fieldUsage x="6"/>
      </fieldsUsage>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hidden="1">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hidden="1">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hidden="1">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hidden="1">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hidden="1">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hidden="1">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hidden="1">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9201389" backgroundQuery="1" createdVersion="6" refreshedVersion="6" minRefreshableVersion="3" recordCount="0" supportSubquery="1" supportAdvancedDrill="1" xr:uid="{00000000-000A-0000-FFFF-FFFF02000000}">
  <cacheSource type="external" connectionId="1"/>
  <cacheFields count="7">
    <cacheField name="[Tabel_PAAP2018].[Pus disponibil].[Pus disponibil]" caption="Pus disponibil" numFmtId="0" hierarchy="56" level="1">
      <sharedItems containsSemiMixedTypes="0" containsNonDate="0" containsString="0"/>
    </cacheField>
    <cacheField name="[Disponibil].[Disponibil].[Disponibil]" caption="Disponibil" numFmtId="0" hierarchy="2" level="1">
      <sharedItems containsSemiMixedTypes="0" containsNonDate="0" containsString="0"/>
    </cacheField>
    <cacheField name="[Coduri_bugetare].[Cod bugetar].[Cod bugetar]" caption="Cod bugetar" numFmtId="0" level="1">
      <sharedItems containsBlank="1" count="18">
        <s v="20.01.01"/>
        <s v="20.01.02"/>
        <s v="20.01.03"/>
        <s v="20.01.04"/>
        <s v="20.01.05"/>
        <s v="20.01.09"/>
        <s v="20.01.30"/>
        <s v="20.04.02"/>
        <s v="20.05.30"/>
        <s v="20.12"/>
        <s v="20.13"/>
        <s v="20.30.02"/>
        <s v="20.30.03"/>
        <s v="20.30.04"/>
        <s v="20.30.30"/>
        <s v="71.01.02"/>
        <s v="71.01.03"/>
        <m/>
      </sharedItems>
    </cacheField>
    <cacheField name="[Measures].[Sum of Valoarea estimată  pentru 2020 lei fără TVA]" caption="Sum of Valoarea estimată  pentru 2020 lei fără TVA" numFmtId="0" hierarchy="103" level="32767"/>
    <cacheField name="[Measures].[Sum of Valoarea estimată  pentru 2020 lei fără TVA 2]" caption="Sum of Valoarea estimată  pentru 2020 lei fără TVA 2" numFmtId="0" hierarchy="104" level="32767"/>
    <cacheField name="[Measures].[Sum of Valoarea estimată  pentru 2020 lei fără TVA 3]" caption="Sum of Valoarea estimată  pentru 2020 lei fără TVA 3" numFmtId="0" hierarchy="106" level="32767"/>
    <cacheField name="[Trimestrializare].[Trimestrializare].[Trimestrializare]" caption="Trimestrializare" numFmtId="0" hierarchy="79" level="1">
      <sharedItems containsBlank="1" count="5">
        <s v="Trim I"/>
        <s v="Trim II"/>
        <s v="Trim III"/>
        <s v="Trim IV"/>
        <m/>
      </sharedItems>
    </cacheField>
  </cacheFields>
  <cacheHierarchies count="107">
    <cacheHierarchy uniqueName="[Coduri_bugetare].[Cod bugetar]" caption="Cod bugetar" attribute="1" defaultMemberUniqueName="[Coduri_bugetare].[Cod bugetar].[All]" allUniqueName="[Coduri_bugetare].[Cod bugetar].[All]" dimensionUniqueName="[Coduri_bugetare]" displayFolder="" count="2" memberValueDatatype="130" unbalanced="0">
      <fieldsUsage count="2">
        <fieldUsage x="-1"/>
        <fieldUsage x="2"/>
      </fieldsUsage>
    </cacheHierarchy>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2" memberValueDatatype="130" unbalanced="0">
      <fieldsUsage count="2">
        <fieldUsage x="-1"/>
        <fieldUsage x="1"/>
      </fieldsUsage>
    </cacheHierarchy>
    <cacheHierarchy uniqueName="[Investitii].[Investitii]" caption="Investitii" attribute="1" defaultMemberUniqueName="[Investitii].[Investitii].[All]" allUniqueName="[Investitii].[Investitii].[All]" dimensionUniqueName="[Investitii]" displayFolder="" count="0" memberValueDatatype="130" unbalanced="0"/>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0" memberValueDatatype="130" unbalanced="0"/>
    <cacheHierarchy uniqueName="[Status_lucrare].[Status]" caption="Status" attribute="1" defaultMemberUniqueName="[Status_lucrare].[Status].[All]" allUniqueName="[Status_lucrare].[Status].[All]" dimensionUniqueName="[Status_lucrare]" displayFolder="" count="0" memberValueDatatype="130" unbalanced="0"/>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2" memberValueDatatype="130" unbalanced="0">
      <fieldsUsage count="2">
        <fieldUsage x="-1"/>
        <fieldUsage x="0"/>
      </fieldsUsage>
    </cacheHierarchy>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0" memberValueDatatype="130" unbalanced="0"/>
    <cacheHierarchy uniqueName="[Trimestrializare].[Trimestrializare]" caption="Trimestrializare" attribute="1" defaultMemberUniqueName="[Trimestrializare].[Trimestrializare].[All]" allUniqueName="[Trimestrializare].[Trimestrializare].[All]" dimensionUniqueName="[Trimestrializare]" displayFolder="" count="2" memberValueDatatype="130" unbalanced="0">
      <fieldsUsage count="2">
        <fieldUsage x="-1"/>
        <fieldUsage x="6"/>
      </fieldsUsage>
    </cacheHierarchy>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hidden="1">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hidden="1">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hidden="1">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hidden="1">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hidden="1">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hidden="1">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hidden="1">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oneField="1" hidden="1">
      <fieldsUsage count="1">
        <fieldUsage x="3"/>
      </fieldsUsage>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oneField="1" hidden="1">
      <fieldsUsage count="1">
        <fieldUsage x="4"/>
      </fieldsUsage>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oneField="1" hidden="1">
      <fieldsUsage count="1">
        <fieldUsage x="5"/>
      </fieldsUsage>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0" cacheId="2"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rowHeaderCaption="Cod bugetar">
  <location ref="A4:O25" firstHeaderRow="1" firstDataRow="3" firstDataCol="1" rowPageCount="1" colPageCount="1"/>
  <pivotFields count="7">
    <pivotField allDrilled="1" subtotalTop="0" showAll="0" dataSourceSort="1" defaultAttributeDrillState="1"/>
    <pivotField axis="axisPage" allDrilled="1" subtotalTop="0" showAll="0" dataSourceSort="1" defaultAttributeDrillState="1">
      <items count="1">
        <item t="default"/>
      </items>
    </pivotField>
    <pivotField axis="axisRow" allDrilled="1" showAll="0" dataSourceSort="1" defaultAttributeDrillState="1">
      <items count="19">
        <item x="0"/>
        <item x="1"/>
        <item x="2"/>
        <item x="3"/>
        <item x="4"/>
        <item x="5"/>
        <item x="6"/>
        <item x="7"/>
        <item x="8"/>
        <item x="9"/>
        <item x="10"/>
        <item x="11"/>
        <item x="12"/>
        <item x="13"/>
        <item x="14"/>
        <item x="15"/>
        <item x="16"/>
        <item x="17"/>
        <item t="default"/>
      </items>
    </pivotField>
    <pivotField dataField="1" showAll="0"/>
    <pivotField dataField="1" showAll="0"/>
    <pivotField dataField="1" showAll="0"/>
    <pivotField axis="axisCol" allDrilled="1" showAll="0" dataSourceSort="1" defaultAttributeDrillState="1">
      <items count="6">
        <item x="0"/>
        <item x="1"/>
        <item x="2"/>
        <item x="3"/>
        <item x="4"/>
        <item t="default"/>
      </items>
    </pivotField>
  </pivotFields>
  <rowFields count="1">
    <field x="2"/>
  </rowFields>
  <rowItems count="19">
    <i>
      <x/>
    </i>
    <i>
      <x v="1"/>
    </i>
    <i>
      <x v="2"/>
    </i>
    <i>
      <x v="3"/>
    </i>
    <i>
      <x v="4"/>
    </i>
    <i>
      <x v="5"/>
    </i>
    <i>
      <x v="6"/>
    </i>
    <i>
      <x v="7"/>
    </i>
    <i>
      <x v="8"/>
    </i>
    <i>
      <x v="9"/>
    </i>
    <i>
      <x v="10"/>
    </i>
    <i>
      <x v="11"/>
    </i>
    <i>
      <x v="12"/>
    </i>
    <i>
      <x v="13"/>
    </i>
    <i>
      <x v="14"/>
    </i>
    <i>
      <x v="15"/>
    </i>
    <i>
      <x v="16"/>
    </i>
    <i>
      <x v="17"/>
    </i>
    <i t="grand">
      <x/>
    </i>
  </rowItems>
  <colFields count="2">
    <field x="-2"/>
    <field x="6"/>
  </colFields>
  <colItems count="14">
    <i>
      <x/>
      <x/>
    </i>
    <i r="1">
      <x v="1"/>
    </i>
    <i r="1">
      <x v="2"/>
    </i>
    <i r="1">
      <x v="3"/>
    </i>
    <i r="1">
      <x v="4"/>
    </i>
    <i i="1">
      <x v="1"/>
      <x/>
    </i>
    <i r="1" i="1">
      <x v="2"/>
    </i>
    <i i="2">
      <x v="2"/>
      <x/>
    </i>
    <i r="1" i="2">
      <x v="1"/>
    </i>
    <i r="1" i="2">
      <x v="2"/>
    </i>
    <i r="1" i="2">
      <x v="3"/>
    </i>
    <i t="grand">
      <x/>
    </i>
    <i t="grand" i="1">
      <x v="1"/>
    </i>
    <i t="grand" i="2">
      <x v="2"/>
    </i>
  </colItems>
  <pageFields count="1">
    <pageField fld="1" hier="2" name="[Disponibil].[Disponibil].[All]" cap="All"/>
  </pageFields>
  <dataFields count="3">
    <dataField name="Sum of Valoarea estimată  pentru 2020 lei fără TVA" fld="3" baseField="0" baseItem="0"/>
    <dataField name="Sum of Valoarea estimată  pentru 2020 lei fără TVA" fld="4" baseField="0" baseItem="0"/>
    <dataField name="Sum of Valoarea estimată  pentru 2020 lei fără TVA2" fld="5" baseField="2" baseItem="0"/>
  </dataFields>
  <formats count="1">
    <format dxfId="111">
      <pivotArea outline="0" collapsedLevelsAreSubtotals="1" fieldPosition="0"/>
    </format>
  </formats>
  <pivotHierarchies count="107">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el_PAAP2018].[Pus disponibil].&amp;[NU]"/>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Sum of Valoarea estimată  pentru 2020 lei fără TVA2"/>
  </pivotHierarchies>
  <pivotTableStyleInfo name="PivotStyleLight16" showRowHeaders="1" showColHeaders="1" showRowStripes="1" showColStripes="0" showLastColumn="1"/>
  <rowHierarchiesUsage count="1">
    <rowHierarchyUsage hierarchyUsage="0"/>
  </rowHierarchiesUsage>
  <colHierarchiesUsage count="2">
    <colHierarchyUsage hierarchyUsage="-2"/>
    <colHierarchyUsage hierarchyUsage="79"/>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abel_A8_AD]"/>
        <x15:activeTabTopLevelEntity name="[Tabel_A9_Ex_L98]"/>
        <x15:activeTabTopLevelEntity name="[Coduri_bugetare]"/>
        <x15:activeTabTopLevelEntity name="[Disponibil]"/>
        <x15:activeTabTopLevelEntity name="[Trimestrializar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rowHeaderCaption="Cod bugetar">
  <location ref="A5:D24" firstHeaderRow="0" firstDataRow="1" firstDataCol="1" rowPageCount="2" colPageCount="1"/>
  <pivotFields count="7">
    <pivotField allDrilled="1" subtotalTop="0" showAll="0" dataSourceSort="1" defaultAttributeDrillState="1"/>
    <pivotField axis="axisRow" allDrilled="1" subtotalTop="0" showAll="0" dataSourceSort="1" defaultAttributeDrillState="1">
      <items count="19">
        <item x="0"/>
        <item x="1"/>
        <item x="2"/>
        <item x="3"/>
        <item x="4"/>
        <item x="5"/>
        <item x="6"/>
        <item x="7"/>
        <item x="8"/>
        <item x="9"/>
        <item x="10"/>
        <item x="11"/>
        <item x="12"/>
        <item x="13"/>
        <item x="14"/>
        <item x="15"/>
        <item x="16"/>
        <item x="17"/>
        <item t="default"/>
      </items>
    </pivotField>
    <pivotField axis="axisPage" allDrilled="1" subtotalTop="0" showAll="0" dataSourceSort="1" defaultAttributeDrillState="1">
      <items count="1">
        <item t="default"/>
      </items>
    </pivotField>
    <pivotField axis="axisPage" allDrilled="1" showAll="0" dataSourceSort="1" defaultAttributeDrillState="1">
      <items count="1">
        <item t="default"/>
      </items>
    </pivotField>
    <pivotField dataField="1" showAll="0"/>
    <pivotField dataField="1" showAll="0"/>
    <pivotField dataField="1" showAll="0"/>
  </pivotFields>
  <rowFields count="1">
    <field x="1"/>
  </rowFields>
  <rowItems count="19">
    <i>
      <x/>
    </i>
    <i>
      <x v="1"/>
    </i>
    <i>
      <x v="2"/>
    </i>
    <i>
      <x v="3"/>
    </i>
    <i>
      <x v="4"/>
    </i>
    <i>
      <x v="5"/>
    </i>
    <i>
      <x v="6"/>
    </i>
    <i>
      <x v="7"/>
    </i>
    <i>
      <x v="8"/>
    </i>
    <i>
      <x v="9"/>
    </i>
    <i>
      <x v="10"/>
    </i>
    <i>
      <x v="11"/>
    </i>
    <i>
      <x v="12"/>
    </i>
    <i>
      <x v="13"/>
    </i>
    <i>
      <x v="14"/>
    </i>
    <i>
      <x v="15"/>
    </i>
    <i>
      <x v="16"/>
    </i>
    <i>
      <x v="17"/>
    </i>
    <i t="grand">
      <x/>
    </i>
  </rowItems>
  <colFields count="1">
    <field x="-2"/>
  </colFields>
  <colItems count="3">
    <i>
      <x/>
    </i>
    <i i="1">
      <x v="1"/>
    </i>
    <i i="2">
      <x v="2"/>
    </i>
  </colItems>
  <pageFields count="2">
    <pageField fld="2" hier="2" name="[Disponibil].[Disponibil].&amp;" cap="(blank)"/>
    <pageField fld="3" hier="3" name="[Investitii].[Investitii].[All]" cap="All"/>
  </pageFields>
  <dataFields count="3">
    <dataField name="Sum of Valoare estimata  - lei fără TVA -" fld="4" baseField="0" baseItem="0"/>
    <dataField name="Sum of Valoare estimata  - lei fără TVA -" fld="5" baseField="0" baseItem="0"/>
    <dataField name="Sum of Valoare estimata  - lei fără TVA -" fld="6" baseField="0" baseItem="0"/>
  </dataFields>
  <formats count="1">
    <format dxfId="110">
      <pivotArea outline="0" collapsedLevelsAreSubtotals="1" fieldPosition="0"/>
    </format>
  </formats>
  <pivotHierarchies count="107">
    <pivotHierarchy dragToData="1"/>
    <pivotHierarchy dragToData="1"/>
    <pivotHierarchy multipleItemSelectionAllowed="1" dragToData="1">
      <members count="2" level="1">
        <member name="[Disponibil].[Disponibil].&amp;"/>
        <member name="[Disponibil].[Disponibil].&amp;[NU]"/>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el_PAAP2018].[Pus disponibil].&amp;[NU]"/>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1"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abel_A8_AD]"/>
        <x15:activeTabTopLevelEntity name="[Tabel_A9_Ex_L98]"/>
        <x15:activeTabTopLevelEntity name="[Coduri_bugetare]"/>
        <x15:activeTabTopLevelEntity name="[Disponibil]"/>
        <x15:activeTabTopLevelEntity name="[Investitii]"/>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0"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A3:AG17" firstHeaderRow="1" firstDataRow="3" firstDataCol="1" rowPageCount="1" colPageCount="1"/>
  <pivotFields count="7">
    <pivotField axis="axisCol" allDrilled="1" showAll="0" dataSourceSort="1" defaultAttributeDrillState="1">
      <items count="10">
        <item x="0"/>
        <item x="1"/>
        <item x="2"/>
        <item x="3"/>
        <item x="4"/>
        <item x="5"/>
        <item x="6"/>
        <item x="7"/>
        <item x="8"/>
        <item t="default"/>
      </items>
    </pivotField>
    <pivotField dataField="1" showAll="0"/>
    <pivotField dataField="1" showAll="0"/>
    <pivotField axis="axisRow" allDrilled="1" showAll="0" dataSourceSort="1" defaultAttributeDrillState="1">
      <items count="12">
        <item x="0"/>
        <item x="1"/>
        <item x="2"/>
        <item x="3"/>
        <item x="4"/>
        <item x="5"/>
        <item x="6"/>
        <item x="7"/>
        <item x="8"/>
        <item x="9"/>
        <item x="10"/>
        <item t="default"/>
      </items>
    </pivotField>
    <pivotField dataField="1" showAll="0"/>
    <pivotField axis="axisPage" allDrilled="1" showAll="0" dataSourceSort="1" defaultAttributeDrillState="1">
      <items count="1">
        <item t="default"/>
      </items>
    </pivotField>
    <pivotField dataField="1" showAll="0"/>
  </pivotFields>
  <rowFields count="1">
    <field x="3"/>
  </rowFields>
  <rowItems count="12">
    <i>
      <x/>
    </i>
    <i>
      <x v="1"/>
    </i>
    <i>
      <x v="2"/>
    </i>
    <i>
      <x v="3"/>
    </i>
    <i>
      <x v="4"/>
    </i>
    <i>
      <x v="5"/>
    </i>
    <i>
      <x v="6"/>
    </i>
    <i>
      <x v="7"/>
    </i>
    <i>
      <x v="8"/>
    </i>
    <i>
      <x v="9"/>
    </i>
    <i>
      <x v="10"/>
    </i>
    <i t="grand">
      <x/>
    </i>
  </rowItems>
  <colFields count="2">
    <field x="0"/>
    <field x="-2"/>
  </colFields>
  <colItems count="32">
    <i>
      <x/>
      <x/>
    </i>
    <i r="1" i="1">
      <x v="1"/>
    </i>
    <i r="1" i="2">
      <x v="2"/>
    </i>
    <i r="1" i="3">
      <x v="3"/>
    </i>
    <i>
      <x v="1"/>
      <x/>
    </i>
    <i r="1" i="1">
      <x v="1"/>
    </i>
    <i r="1" i="2">
      <x v="2"/>
    </i>
    <i r="1" i="3">
      <x v="3"/>
    </i>
    <i>
      <x v="2"/>
      <x/>
    </i>
    <i r="1" i="1">
      <x v="1"/>
    </i>
    <i r="1" i="2">
      <x v="2"/>
    </i>
    <i r="1" i="3">
      <x v="3"/>
    </i>
    <i>
      <x v="3"/>
      <x/>
    </i>
    <i r="1" i="1">
      <x v="1"/>
    </i>
    <i r="1" i="2">
      <x v="2"/>
    </i>
    <i r="1" i="3">
      <x v="3"/>
    </i>
    <i>
      <x v="4"/>
      <x/>
    </i>
    <i r="1" i="1">
      <x v="1"/>
    </i>
    <i r="1" i="2">
      <x v="2"/>
    </i>
    <i r="1" i="3">
      <x v="3"/>
    </i>
    <i>
      <x v="5"/>
      <x/>
    </i>
    <i r="1" i="1">
      <x v="1"/>
    </i>
    <i r="1" i="2">
      <x v="2"/>
    </i>
    <i r="1" i="3">
      <x v="3"/>
    </i>
    <i>
      <x v="6"/>
      <x/>
    </i>
    <i r="1" i="1">
      <x v="1"/>
    </i>
    <i r="1" i="2">
      <x v="2"/>
    </i>
    <i r="1" i="3">
      <x v="3"/>
    </i>
    <i t="grand">
      <x/>
    </i>
    <i t="grand" i="1">
      <x/>
    </i>
    <i t="grand" i="2">
      <x/>
    </i>
    <i t="grand" i="3">
      <x/>
    </i>
  </colItems>
  <pageFields count="1">
    <pageField fld="5" hier="5" name="[Status_lucrare].[Status].&amp;[În plan]" cap="În plan"/>
  </pageFields>
  <dataFields count="4">
    <dataField name="Count of Tip procedura" fld="4" subtotal="count" baseField="0" baseItem="0"/>
    <dataField name="Count of Tip AD" fld="2" subtotal="count" baseField="0" baseItem="0"/>
    <dataField name="Count of Tip procedura" fld="1" subtotal="count" baseField="0" baseItem="0"/>
    <dataField name="Count of Tip procedura" fld="6" subtotal="count" baseField="0" baseItem="0"/>
  </dataFields>
  <formats count="96">
    <format dxfId="109">
      <pivotArea dataOnly="0" labelOnly="1" outline="0" fieldPosition="0">
        <references count="2">
          <reference field="4294967294" count="1">
            <x v="2"/>
          </reference>
          <reference field="0" count="1" selected="0">
            <x v="0"/>
          </reference>
        </references>
      </pivotArea>
    </format>
    <format dxfId="108">
      <pivotArea dataOnly="0" labelOnly="1" outline="0" fieldPosition="0">
        <references count="2">
          <reference field="4294967294" count="1">
            <x v="2"/>
          </reference>
          <reference field="0" count="1" selected="0">
            <x v="0"/>
          </reference>
        </references>
      </pivotArea>
    </format>
    <format dxfId="107">
      <pivotArea dataOnly="0" labelOnly="1" outline="0" fieldPosition="0">
        <references count="2">
          <reference field="4294967294" count="1">
            <x v="2"/>
          </reference>
          <reference field="0" count="1" selected="0">
            <x v="0"/>
          </reference>
        </references>
      </pivotArea>
    </format>
    <format dxfId="106">
      <pivotArea dataOnly="0" labelOnly="1" outline="0" fieldPosition="0">
        <references count="2">
          <reference field="4294967294" count="1">
            <x v="2"/>
          </reference>
          <reference field="0" count="1" selected="0">
            <x v="1"/>
          </reference>
        </references>
      </pivotArea>
    </format>
    <format dxfId="105">
      <pivotArea dataOnly="0" labelOnly="1" outline="0" fieldPosition="0">
        <references count="2">
          <reference field="4294967294" count="1">
            <x v="2"/>
          </reference>
          <reference field="0" count="1" selected="0">
            <x v="8"/>
          </reference>
        </references>
      </pivotArea>
    </format>
    <format dxfId="104">
      <pivotArea dataOnly="0" labelOnly="1" outline="0" fieldPosition="0">
        <references count="2">
          <reference field="4294967294" count="1">
            <x v="2"/>
          </reference>
          <reference field="0" count="1" selected="0">
            <x v="3"/>
          </reference>
        </references>
      </pivotArea>
    </format>
    <format dxfId="103">
      <pivotArea dataOnly="0" labelOnly="1" outline="0" fieldPosition="0">
        <references count="2">
          <reference field="4294967294" count="1">
            <x v="2"/>
          </reference>
          <reference field="0" count="1" selected="0">
            <x v="3"/>
          </reference>
        </references>
      </pivotArea>
    </format>
    <format dxfId="102">
      <pivotArea dataOnly="0" labelOnly="1" outline="0" fieldPosition="0">
        <references count="2">
          <reference field="4294967294" count="1">
            <x v="2"/>
          </reference>
          <reference field="0" count="1" selected="0">
            <x v="5"/>
          </reference>
        </references>
      </pivotArea>
    </format>
    <format dxfId="101">
      <pivotArea dataOnly="0" labelOnly="1" outline="0" fieldPosition="0">
        <references count="2">
          <reference field="4294967294" count="1">
            <x v="2"/>
          </reference>
          <reference field="0" count="1" selected="0">
            <x v="6"/>
          </reference>
        </references>
      </pivotArea>
    </format>
    <format dxfId="100">
      <pivotArea dataOnly="0" labelOnly="1" outline="0" fieldPosition="0">
        <references count="2">
          <reference field="4294967294" count="2">
            <x v="1"/>
            <x v="2"/>
          </reference>
          <reference field="0" count="1" selected="0">
            <x v="0"/>
          </reference>
        </references>
      </pivotArea>
    </format>
    <format dxfId="99">
      <pivotArea dataOnly="0" labelOnly="1" outline="0" fieldPosition="0">
        <references count="2">
          <reference field="4294967294" count="2">
            <x v="1"/>
            <x v="2"/>
          </reference>
          <reference field="0" count="1" selected="0">
            <x v="1"/>
          </reference>
        </references>
      </pivotArea>
    </format>
    <format dxfId="98">
      <pivotArea dataOnly="0" labelOnly="1" outline="0" fieldPosition="0">
        <references count="2">
          <reference field="4294967294" count="2">
            <x v="1"/>
            <x v="2"/>
          </reference>
          <reference field="0" count="1" selected="0">
            <x v="8"/>
          </reference>
        </references>
      </pivotArea>
    </format>
    <format dxfId="97">
      <pivotArea dataOnly="0" labelOnly="1" outline="0" fieldPosition="0">
        <references count="2">
          <reference field="4294967294" count="2">
            <x v="1"/>
            <x v="2"/>
          </reference>
          <reference field="0" count="1" selected="0">
            <x v="3"/>
          </reference>
        </references>
      </pivotArea>
    </format>
    <format dxfId="96">
      <pivotArea dataOnly="0" labelOnly="1" outline="0" fieldPosition="0">
        <references count="2">
          <reference field="4294967294" count="2">
            <x v="1"/>
            <x v="2"/>
          </reference>
          <reference field="0" count="1" selected="0">
            <x v="5"/>
          </reference>
        </references>
      </pivotArea>
    </format>
    <format dxfId="95">
      <pivotArea dataOnly="0" labelOnly="1" outline="0" fieldPosition="0">
        <references count="2">
          <reference field="4294967294" count="2">
            <x v="1"/>
            <x v="2"/>
          </reference>
          <reference field="0" count="1" selected="0">
            <x v="6"/>
          </reference>
        </references>
      </pivotArea>
    </format>
    <format dxfId="94">
      <pivotArea dataOnly="0" labelOnly="1" outline="0" fieldPosition="0">
        <references count="2">
          <reference field="4294967294" count="2">
            <x v="1"/>
            <x v="2"/>
          </reference>
          <reference field="0" count="1" selected="0">
            <x v="7"/>
          </reference>
        </references>
      </pivotArea>
    </format>
    <format dxfId="93">
      <pivotArea dataOnly="0" labelOnly="1" outline="0" fieldPosition="0">
        <references count="2">
          <reference field="4294967294" count="2">
            <x v="1"/>
            <x v="2"/>
          </reference>
          <reference field="0" count="1" selected="0">
            <x v="0"/>
          </reference>
        </references>
      </pivotArea>
    </format>
    <format dxfId="92">
      <pivotArea dataOnly="0" labelOnly="1" outline="0" fieldPosition="0">
        <references count="2">
          <reference field="4294967294" count="2">
            <x v="1"/>
            <x v="2"/>
          </reference>
          <reference field="0" count="1" selected="0">
            <x v="1"/>
          </reference>
        </references>
      </pivotArea>
    </format>
    <format dxfId="91">
      <pivotArea dataOnly="0" labelOnly="1" outline="0" fieldPosition="0">
        <references count="2">
          <reference field="4294967294" count="2">
            <x v="1"/>
            <x v="2"/>
          </reference>
          <reference field="0" count="1" selected="0">
            <x v="8"/>
          </reference>
        </references>
      </pivotArea>
    </format>
    <format dxfId="90">
      <pivotArea dataOnly="0" labelOnly="1" outline="0" fieldPosition="0">
        <references count="2">
          <reference field="4294967294" count="2">
            <x v="1"/>
            <x v="2"/>
          </reference>
          <reference field="0" count="1" selected="0">
            <x v="3"/>
          </reference>
        </references>
      </pivotArea>
    </format>
    <format dxfId="89">
      <pivotArea dataOnly="0" labelOnly="1" outline="0" fieldPosition="0">
        <references count="2">
          <reference field="4294967294" count="2">
            <x v="1"/>
            <x v="2"/>
          </reference>
          <reference field="0" count="1" selected="0">
            <x v="5"/>
          </reference>
        </references>
      </pivotArea>
    </format>
    <format dxfId="88">
      <pivotArea dataOnly="0" labelOnly="1" outline="0" fieldPosition="0">
        <references count="2">
          <reference field="4294967294" count="2">
            <x v="1"/>
            <x v="2"/>
          </reference>
          <reference field="0" count="1" selected="0">
            <x v="6"/>
          </reference>
        </references>
      </pivotArea>
    </format>
    <format dxfId="87">
      <pivotArea dataOnly="0" labelOnly="1" outline="0" fieldPosition="0">
        <references count="2">
          <reference field="4294967294" count="2">
            <x v="1"/>
            <x v="2"/>
          </reference>
          <reference field="0" count="1" selected="0">
            <x v="7"/>
          </reference>
        </references>
      </pivotArea>
    </format>
    <format dxfId="86">
      <pivotArea field="0" dataOnly="0" labelOnly="1" grandCol="1" outline="0" axis="axisCol" fieldPosition="0">
        <references count="1">
          <reference field="4294967294" count="1" selected="0">
            <x v="2"/>
          </reference>
        </references>
      </pivotArea>
    </format>
    <format dxfId="85">
      <pivotArea field="0" dataOnly="0" labelOnly="1" grandCol="1" outline="0" axis="axisCol" fieldPosition="0">
        <references count="1">
          <reference field="4294967294" count="1" selected="0">
            <x v="1"/>
          </reference>
        </references>
      </pivotArea>
    </format>
    <format dxfId="84">
      <pivotArea field="0" dataOnly="0" labelOnly="1" grandCol="1" outline="0" axis="axisCol" fieldPosition="0">
        <references count="1">
          <reference field="4294967294" count="1" selected="0">
            <x v="2"/>
          </reference>
        </references>
      </pivotArea>
    </format>
    <format dxfId="83">
      <pivotArea field="0" dataOnly="0" labelOnly="1" grandCol="1" outline="0" axis="axisCol" fieldPosition="0">
        <references count="1">
          <reference field="4294967294" count="1" selected="0">
            <x v="1"/>
          </reference>
        </references>
      </pivotArea>
    </format>
    <format dxfId="82">
      <pivotArea field="0" dataOnly="0" labelOnly="1" grandCol="1" outline="0" axis="axisCol" fieldPosition="0">
        <references count="1">
          <reference field="4294967294" count="1" selected="0">
            <x v="2"/>
          </reference>
        </references>
      </pivotArea>
    </format>
    <format dxfId="81">
      <pivotArea field="0" dataOnly="0" labelOnly="1" grandCol="1" outline="0" axis="axisCol" fieldPosition="0">
        <references count="1">
          <reference field="4294967294" count="1" selected="0">
            <x v="1"/>
          </reference>
        </references>
      </pivotArea>
    </format>
    <format dxfId="80">
      <pivotArea field="0" dataOnly="0" labelOnly="1" grandCol="1" outline="0" axis="axisCol" fieldPosition="0">
        <references count="1">
          <reference field="4294967294" count="1" selected="0">
            <x v="0"/>
          </reference>
        </references>
      </pivotArea>
    </format>
    <format dxfId="79">
      <pivotArea field="0" dataOnly="0" labelOnly="1" grandCol="1" outline="0" axis="axisCol" fieldPosition="0">
        <references count="1">
          <reference field="4294967294" count="1" selected="0">
            <x v="1"/>
          </reference>
        </references>
      </pivotArea>
    </format>
    <format dxfId="78">
      <pivotArea field="0" dataOnly="0" labelOnly="1" grandCol="1" outline="0" axis="axisCol" fieldPosition="0">
        <references count="1">
          <reference field="4294967294" count="1" selected="0">
            <x v="2"/>
          </reference>
        </references>
      </pivotArea>
    </format>
    <format dxfId="77">
      <pivotArea dataOnly="0" labelOnly="1" outline="0" fieldPosition="0">
        <references count="2">
          <reference field="4294967294" count="1">
            <x v="0"/>
          </reference>
          <reference field="0" count="1" selected="0">
            <x v="0"/>
          </reference>
        </references>
      </pivotArea>
    </format>
    <format dxfId="76">
      <pivotArea dataOnly="0" labelOnly="1" outline="0" fieldPosition="0">
        <references count="2">
          <reference field="4294967294" count="1">
            <x v="0"/>
          </reference>
          <reference field="0" count="1" selected="0">
            <x v="0"/>
          </reference>
        </references>
      </pivotArea>
    </format>
    <format dxfId="75">
      <pivotArea dataOnly="0" labelOnly="1" outline="0" fieldPosition="0">
        <references count="2">
          <reference field="4294967294" count="1">
            <x v="0"/>
          </reference>
          <reference field="0" count="1" selected="0">
            <x v="0"/>
          </reference>
        </references>
      </pivotArea>
    </format>
    <format dxfId="74">
      <pivotArea dataOnly="0" labelOnly="1" outline="0" fieldPosition="0">
        <references count="2">
          <reference field="4294967294" count="1">
            <x v="0"/>
          </reference>
          <reference field="0" count="1" selected="0">
            <x v="1"/>
          </reference>
        </references>
      </pivotArea>
    </format>
    <format dxfId="73">
      <pivotArea dataOnly="0" labelOnly="1" outline="0" fieldPosition="0">
        <references count="2">
          <reference field="4294967294" count="1">
            <x v="0"/>
          </reference>
          <reference field="0" count="1" selected="0">
            <x v="8"/>
          </reference>
        </references>
      </pivotArea>
    </format>
    <format dxfId="72">
      <pivotArea dataOnly="0" labelOnly="1" outline="0" fieldPosition="0">
        <references count="2">
          <reference field="4294967294" count="1">
            <x v="0"/>
          </reference>
          <reference field="0" count="1" selected="0">
            <x v="3"/>
          </reference>
        </references>
      </pivotArea>
    </format>
    <format dxfId="71">
      <pivotArea dataOnly="0" labelOnly="1" outline="0" fieldPosition="0">
        <references count="2">
          <reference field="4294967294" count="1">
            <x v="0"/>
          </reference>
          <reference field="0" count="1" selected="0">
            <x v="6"/>
          </reference>
        </references>
      </pivotArea>
    </format>
    <format dxfId="70">
      <pivotArea dataOnly="0" labelOnly="1" outline="0" fieldPosition="0">
        <references count="2">
          <reference field="4294967294" count="1">
            <x v="0"/>
          </reference>
          <reference field="0" count="1" selected="0">
            <x v="5"/>
          </reference>
        </references>
      </pivotArea>
    </format>
    <format dxfId="69">
      <pivotArea dataOnly="0" labelOnly="1" outline="0" fieldPosition="0">
        <references count="2">
          <reference field="4294967294" count="1">
            <x v="0"/>
          </reference>
          <reference field="0" count="1" selected="0">
            <x v="8"/>
          </reference>
        </references>
      </pivotArea>
    </format>
    <format dxfId="68">
      <pivotArea dataOnly="0" labelOnly="1" outline="0" fieldPosition="0">
        <references count="2">
          <reference field="4294967294" count="1">
            <x v="0"/>
          </reference>
          <reference field="0" count="1" selected="0">
            <x v="8"/>
          </reference>
        </references>
      </pivotArea>
    </format>
    <format dxfId="67">
      <pivotArea outline="0" collapsedLevelsAreSubtotals="1" fieldPosition="0"/>
    </format>
    <format dxfId="66">
      <pivotArea dataOnly="0" labelOnly="1" fieldPosition="0">
        <references count="1">
          <reference field="0" count="6">
            <x v="0"/>
            <x v="1"/>
            <x v="3"/>
            <x v="5"/>
            <x v="6"/>
            <x v="8"/>
          </reference>
        </references>
      </pivotArea>
    </format>
    <format dxfId="65">
      <pivotArea field="0" dataOnly="0" labelOnly="1" grandCol="1" outline="0" axis="axisCol" fieldPosition="0">
        <references count="1">
          <reference field="4294967294" count="1" selected="0">
            <x v="0"/>
          </reference>
        </references>
      </pivotArea>
    </format>
    <format dxfId="64">
      <pivotArea field="0" dataOnly="0" labelOnly="1" grandCol="1" outline="0" axis="axisCol" fieldPosition="0">
        <references count="1">
          <reference field="4294967294" count="1" selected="0">
            <x v="1"/>
          </reference>
        </references>
      </pivotArea>
    </format>
    <format dxfId="63">
      <pivotArea field="0" dataOnly="0" labelOnly="1" grandCol="1" outline="0" axis="axisCol" fieldPosition="0">
        <references count="1">
          <reference field="4294967294" count="1" selected="0">
            <x v="2"/>
          </reference>
        </references>
      </pivotArea>
    </format>
    <format dxfId="62">
      <pivotArea field="0" dataOnly="0" labelOnly="1" grandCol="1" outline="0" axis="axisCol" fieldPosition="0">
        <references count="1">
          <reference field="4294967294" count="1" selected="0">
            <x v="0"/>
          </reference>
        </references>
      </pivotArea>
    </format>
    <format dxfId="61">
      <pivotArea field="0" dataOnly="0" labelOnly="1" grandCol="1" outline="0" axis="axisCol" fieldPosition="0">
        <references count="1">
          <reference field="4294967294" count="1" selected="0">
            <x v="1"/>
          </reference>
        </references>
      </pivotArea>
    </format>
    <format dxfId="60">
      <pivotArea field="0" dataOnly="0" labelOnly="1" grandCol="1" outline="0" axis="axisCol" fieldPosition="0">
        <references count="1">
          <reference field="4294967294" count="1" selected="0">
            <x v="2"/>
          </reference>
        </references>
      </pivotArea>
    </format>
    <format dxfId="59">
      <pivotArea field="0" dataOnly="0" labelOnly="1" grandCol="1" outline="0" axis="axisCol" fieldPosition="0">
        <references count="1">
          <reference field="4294967294" count="1" selected="0">
            <x v="0"/>
          </reference>
        </references>
      </pivotArea>
    </format>
    <format dxfId="58">
      <pivotArea field="0" dataOnly="0" labelOnly="1" grandCol="1" outline="0" axis="axisCol" fieldPosition="0">
        <references count="1">
          <reference field="4294967294" count="1" selected="0">
            <x v="1"/>
          </reference>
        </references>
      </pivotArea>
    </format>
    <format dxfId="57">
      <pivotArea field="0" dataOnly="0" labelOnly="1" grandCol="1" outline="0" axis="axisCol" fieldPosition="0">
        <references count="1">
          <reference field="4294967294" count="1" selected="0">
            <x v="2"/>
          </reference>
        </references>
      </pivotArea>
    </format>
    <format dxfId="56">
      <pivotArea dataOnly="0" labelOnly="1" outline="0" fieldPosition="0">
        <references count="2">
          <reference field="4294967294" count="3">
            <x v="0"/>
            <x v="1"/>
            <x v="2"/>
          </reference>
          <reference field="0" count="1" selected="0">
            <x v="0"/>
          </reference>
        </references>
      </pivotArea>
    </format>
    <format dxfId="55">
      <pivotArea dataOnly="0" labelOnly="1" outline="0" fieldPosition="0">
        <references count="2">
          <reference field="4294967294" count="3">
            <x v="0"/>
            <x v="1"/>
            <x v="2"/>
          </reference>
          <reference field="0" count="1" selected="0">
            <x v="1"/>
          </reference>
        </references>
      </pivotArea>
    </format>
    <format dxfId="54">
      <pivotArea dataOnly="0" labelOnly="1" outline="0" fieldPosition="0">
        <references count="2">
          <reference field="4294967294" count="3">
            <x v="0"/>
            <x v="1"/>
            <x v="2"/>
          </reference>
          <reference field="0" count="1" selected="0">
            <x v="8"/>
          </reference>
        </references>
      </pivotArea>
    </format>
    <format dxfId="53">
      <pivotArea dataOnly="0" labelOnly="1" outline="0" fieldPosition="0">
        <references count="2">
          <reference field="4294967294" count="3">
            <x v="0"/>
            <x v="1"/>
            <x v="2"/>
          </reference>
          <reference field="0" count="1" selected="0">
            <x v="3"/>
          </reference>
        </references>
      </pivotArea>
    </format>
    <format dxfId="52">
      <pivotArea dataOnly="0" labelOnly="1" outline="0" fieldPosition="0">
        <references count="2">
          <reference field="4294967294" count="3">
            <x v="0"/>
            <x v="1"/>
            <x v="2"/>
          </reference>
          <reference field="0" count="1" selected="0">
            <x v="5"/>
          </reference>
        </references>
      </pivotArea>
    </format>
    <format dxfId="51">
      <pivotArea dataOnly="0" labelOnly="1" outline="0" fieldPosition="0">
        <references count="2">
          <reference field="4294967294" count="3">
            <x v="0"/>
            <x v="1"/>
            <x v="2"/>
          </reference>
          <reference field="0" count="1" selected="0">
            <x v="6"/>
          </reference>
        </references>
      </pivotArea>
    </format>
    <format dxfId="50">
      <pivotArea dataOnly="0" labelOnly="1" fieldPosition="0">
        <references count="1">
          <reference field="0" count="1">
            <x v="0"/>
          </reference>
        </references>
      </pivotArea>
    </format>
    <format dxfId="49">
      <pivotArea dataOnly="0" labelOnly="1" fieldPosition="0">
        <references count="1">
          <reference field="0" count="1">
            <x v="0"/>
          </reference>
        </references>
      </pivotArea>
    </format>
    <format dxfId="48">
      <pivotArea dataOnly="0" labelOnly="1" fieldPosition="0">
        <references count="1">
          <reference field="0" count="1">
            <x v="1"/>
          </reference>
        </references>
      </pivotArea>
    </format>
    <format dxfId="47">
      <pivotArea dataOnly="0" labelOnly="1" fieldPosition="0">
        <references count="1">
          <reference field="0" count="1">
            <x v="1"/>
          </reference>
        </references>
      </pivotArea>
    </format>
    <format dxfId="46">
      <pivotArea dataOnly="0" labelOnly="1" fieldPosition="0">
        <references count="1">
          <reference field="0" count="1">
            <x v="3"/>
          </reference>
        </references>
      </pivotArea>
    </format>
    <format dxfId="45">
      <pivotArea dataOnly="0" labelOnly="1" fieldPosition="0">
        <references count="1">
          <reference field="0" count="1">
            <x v="3"/>
          </reference>
        </references>
      </pivotArea>
    </format>
    <format dxfId="44">
      <pivotArea dataOnly="0" labelOnly="1" fieldPosition="0">
        <references count="1">
          <reference field="0" count="1">
            <x v="5"/>
          </reference>
        </references>
      </pivotArea>
    </format>
    <format dxfId="43">
      <pivotArea dataOnly="0" labelOnly="1" fieldPosition="0">
        <references count="1">
          <reference field="0" count="1">
            <x v="5"/>
          </reference>
        </references>
      </pivotArea>
    </format>
    <format dxfId="42">
      <pivotArea outline="0" collapsedLevelsAreSubtotals="1" fieldPosition="0"/>
    </format>
    <format dxfId="41">
      <pivotArea dataOnly="0" labelOnly="1" fieldPosition="0">
        <references count="1">
          <reference field="0" count="0"/>
        </references>
      </pivotArea>
    </format>
    <format dxfId="40">
      <pivotArea field="0" dataOnly="0" labelOnly="1" grandCol="1" outline="0" axis="axisCol" fieldPosition="0">
        <references count="1">
          <reference field="4294967294" count="1" selected="0">
            <x v="0"/>
          </reference>
        </references>
      </pivotArea>
    </format>
    <format dxfId="39">
      <pivotArea field="0" dataOnly="0" labelOnly="1" grandCol="1" outline="0" axis="axisCol" fieldPosition="0">
        <references count="1">
          <reference field="4294967294" count="1" selected="0">
            <x v="1"/>
          </reference>
        </references>
      </pivotArea>
    </format>
    <format dxfId="38">
      <pivotArea field="0" dataOnly="0" labelOnly="1" grandCol="1" outline="0" axis="axisCol" fieldPosition="0">
        <references count="1">
          <reference field="4294967294" count="1" selected="0">
            <x v="2"/>
          </reference>
        </references>
      </pivotArea>
    </format>
    <format dxfId="37">
      <pivotArea field="0" dataOnly="0" labelOnly="1" grandCol="1" outline="0" axis="axisCol" fieldPosition="0">
        <references count="1">
          <reference field="4294967294" count="1" selected="0">
            <x v="3"/>
          </reference>
        </references>
      </pivotArea>
    </format>
    <format dxfId="36">
      <pivotArea field="0" dataOnly="0" labelOnly="1" grandCol="1" outline="0" axis="axisCol" fieldPosition="0">
        <references count="1">
          <reference field="4294967294" count="1" selected="0">
            <x v="0"/>
          </reference>
        </references>
      </pivotArea>
    </format>
    <format dxfId="35">
      <pivotArea field="0" dataOnly="0" labelOnly="1" grandCol="1" outline="0" axis="axisCol" fieldPosition="0">
        <references count="1">
          <reference field="4294967294" count="1" selected="0">
            <x v="1"/>
          </reference>
        </references>
      </pivotArea>
    </format>
    <format dxfId="34">
      <pivotArea field="0" dataOnly="0" labelOnly="1" grandCol="1" outline="0" axis="axisCol" fieldPosition="0">
        <references count="1">
          <reference field="4294967294" count="1" selected="0">
            <x v="2"/>
          </reference>
        </references>
      </pivotArea>
    </format>
    <format dxfId="33">
      <pivotArea field="0" dataOnly="0" labelOnly="1" grandCol="1" outline="0" axis="axisCol" fieldPosition="0">
        <references count="1">
          <reference field="4294967294" count="1" selected="0">
            <x v="3"/>
          </reference>
        </references>
      </pivotArea>
    </format>
    <format dxfId="32">
      <pivotArea field="0" dataOnly="0" labelOnly="1" grandCol="1" outline="0" axis="axisCol" fieldPosition="0">
        <references count="1">
          <reference field="4294967294" count="1" selected="0">
            <x v="0"/>
          </reference>
        </references>
      </pivotArea>
    </format>
    <format dxfId="31">
      <pivotArea field="0" dataOnly="0" labelOnly="1" grandCol="1" outline="0" axis="axisCol" fieldPosition="0">
        <references count="1">
          <reference field="4294967294" count="1" selected="0">
            <x v="1"/>
          </reference>
        </references>
      </pivotArea>
    </format>
    <format dxfId="30">
      <pivotArea field="0" dataOnly="0" labelOnly="1" grandCol="1" outline="0" axis="axisCol" fieldPosition="0">
        <references count="1">
          <reference field="4294967294" count="1" selected="0">
            <x v="2"/>
          </reference>
        </references>
      </pivotArea>
    </format>
    <format dxfId="29">
      <pivotArea field="0" dataOnly="0" labelOnly="1" grandCol="1" outline="0" axis="axisCol" fieldPosition="0">
        <references count="1">
          <reference field="4294967294" count="1" selected="0">
            <x v="3"/>
          </reference>
        </references>
      </pivotArea>
    </format>
    <format dxfId="28">
      <pivotArea field="0" dataOnly="0" labelOnly="1" grandCol="1" outline="0" axis="axisCol" fieldPosition="0">
        <references count="1">
          <reference field="4294967294" count="1" selected="0">
            <x v="0"/>
          </reference>
        </references>
      </pivotArea>
    </format>
    <format dxfId="27">
      <pivotArea field="0" dataOnly="0" labelOnly="1" grandCol="1" outline="0" axis="axisCol" fieldPosition="0">
        <references count="1">
          <reference field="4294967294" count="1" selected="0">
            <x v="1"/>
          </reference>
        </references>
      </pivotArea>
    </format>
    <format dxfId="26">
      <pivotArea field="0" dataOnly="0" labelOnly="1" grandCol="1" outline="0" axis="axisCol" fieldPosition="0">
        <references count="1">
          <reference field="4294967294" count="1" selected="0">
            <x v="2"/>
          </reference>
        </references>
      </pivotArea>
    </format>
    <format dxfId="25">
      <pivotArea field="0" dataOnly="0" labelOnly="1" grandCol="1" outline="0" axis="axisCol" fieldPosition="0">
        <references count="1">
          <reference field="4294967294" count="1" selected="0">
            <x v="3"/>
          </reference>
        </references>
      </pivotArea>
    </format>
    <format dxfId="24">
      <pivotArea dataOnly="0" labelOnly="1" outline="0" fieldPosition="0">
        <references count="2">
          <reference field="4294967294" count="4">
            <x v="0"/>
            <x v="1"/>
            <x v="2"/>
            <x v="3"/>
          </reference>
          <reference field="0" count="1" selected="0">
            <x v="0"/>
          </reference>
        </references>
      </pivotArea>
    </format>
    <format dxfId="23">
      <pivotArea dataOnly="0" labelOnly="1" outline="0" fieldPosition="0">
        <references count="2">
          <reference field="4294967294" count="4">
            <x v="0"/>
            <x v="1"/>
            <x v="2"/>
            <x v="3"/>
          </reference>
          <reference field="0" count="1" selected="0">
            <x v="1"/>
          </reference>
        </references>
      </pivotArea>
    </format>
    <format dxfId="22">
      <pivotArea dataOnly="0" labelOnly="1" outline="0" fieldPosition="0">
        <references count="2">
          <reference field="4294967294" count="4">
            <x v="0"/>
            <x v="1"/>
            <x v="2"/>
            <x v="3"/>
          </reference>
          <reference field="0" count="1" selected="0">
            <x v="8"/>
          </reference>
        </references>
      </pivotArea>
    </format>
    <format dxfId="21">
      <pivotArea dataOnly="0" labelOnly="1" outline="0" fieldPosition="0">
        <references count="2">
          <reference field="4294967294" count="4">
            <x v="0"/>
            <x v="1"/>
            <x v="2"/>
            <x v="3"/>
          </reference>
          <reference field="0" count="1" selected="0">
            <x v="3"/>
          </reference>
        </references>
      </pivotArea>
    </format>
    <format dxfId="20">
      <pivotArea dataOnly="0" labelOnly="1" outline="0" fieldPosition="0">
        <references count="2">
          <reference field="4294967294" count="4">
            <x v="0"/>
            <x v="1"/>
            <x v="2"/>
            <x v="3"/>
          </reference>
          <reference field="0" count="1" selected="0">
            <x v="5"/>
          </reference>
        </references>
      </pivotArea>
    </format>
    <format dxfId="19">
      <pivotArea dataOnly="0" labelOnly="1" outline="0" fieldPosition="0">
        <references count="2">
          <reference field="4294967294" count="4">
            <x v="0"/>
            <x v="1"/>
            <x v="2"/>
            <x v="3"/>
          </reference>
          <reference field="0" count="1" selected="0">
            <x v="6"/>
          </reference>
        </references>
      </pivotArea>
    </format>
    <format dxfId="18">
      <pivotArea dataOnly="0" labelOnly="1" outline="0" fieldPosition="0">
        <references count="2">
          <reference field="4294967294" count="4">
            <x v="0"/>
            <x v="1"/>
            <x v="2"/>
            <x v="3"/>
          </reference>
          <reference field="0" count="1" selected="0">
            <x v="7"/>
          </reference>
        </references>
      </pivotArea>
    </format>
    <format dxfId="17">
      <pivotArea field="0" dataOnly="0" labelOnly="1" grandCol="1" outline="0" offset="IV1" axis="axisCol" fieldPosition="0">
        <references count="1">
          <reference field="4294967294" count="1" selected="0">
            <x v="0"/>
          </reference>
        </references>
      </pivotArea>
    </format>
    <format dxfId="16">
      <pivotArea field="0" dataOnly="0" labelOnly="1" grandCol="1" outline="0" offset="IV1" axis="axisCol" fieldPosition="0">
        <references count="1">
          <reference field="4294967294" count="1" selected="0">
            <x v="1"/>
          </reference>
        </references>
      </pivotArea>
    </format>
    <format dxfId="15">
      <pivotArea field="0" dataOnly="0" labelOnly="1" grandCol="1" outline="0" offset="IV1" axis="axisCol" fieldPosition="0">
        <references count="1">
          <reference field="4294967294" count="1" selected="0">
            <x v="2"/>
          </reference>
        </references>
      </pivotArea>
    </format>
    <format dxfId="14">
      <pivotArea field="0" dataOnly="0" labelOnly="1" grandCol="1" outline="0" offset="IV1" axis="axisCol" fieldPosition="0">
        <references count="1">
          <reference field="4294967294" count="1" selected="0">
            <x v="3"/>
          </reference>
        </references>
      </pivotArea>
    </format>
  </formats>
  <pivotHierarchies count="107">
    <pivotHierarchy dragToData="1"/>
    <pivotHierarchy dragToData="1"/>
    <pivotHierarchy dragToData="1"/>
    <pivotHierarchy dragToData="1"/>
    <pivotHierarchy dragToData="1"/>
    <pivotHierarchy multipleItemSelectionAllowed="1" dragToData="1">
      <members count="1" level="1">
        <member name="[Status_lucrare].[Status].&amp;[În plan]"/>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4"/>
  </rowHierarchiesUsage>
  <colHierarchiesUsage count="2">
    <colHierarchyUsage hierarchyUsage="78"/>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ipul_Procedurii]"/>
        <x15:activeTabTopLevelEntity name="[Tabel_A9_Ex_L98]"/>
        <x15:activeTabTopLevelEntity name="[Tabel_A8_AD]"/>
        <x15:activeTabTopLevelEntity name="[Responsabil_achizitie]"/>
        <x15:activeTabTopLevelEntity name="[Status_lucrare]"/>
        <x15:activeTabTopLevelEntity name="[Tabel_Proiecte]"/>
      </x15:pivotTableUISettings>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AP" displayName="PAAP" ref="A10:U39" totalsRowShown="0" headerRowDxfId="229" dataDxfId="228" totalsRowDxfId="226" tableBorderDxfId="227">
  <autoFilter ref="A10:U39" xr:uid="{00000000-0009-0000-0100-000001000000}"/>
  <tableColumns count="21">
    <tableColumn id="1" xr3:uid="{00000000-0010-0000-0000-000001000000}" name="Nr. crt." dataDxfId="225" totalsRowDxfId="224"/>
    <tableColumn id="2" xr3:uid="{00000000-0010-0000-0000-000002000000}" name="Obiectul contractului" dataDxfId="223" totalsRowDxfId="222"/>
    <tableColumn id="3" xr3:uid="{00000000-0010-0000-0000-000003000000}" name="CPV Principal" dataDxfId="221"/>
    <tableColumn id="4" xr3:uid="{00000000-0010-0000-0000-000004000000}" name="Valoare estimată _x000a_- lei fără TVA -" dataDxfId="220"/>
    <tableColumn id="5" xr3:uid="{00000000-0010-0000-0000-000005000000}" name="Valoare planificată cu TVA - 2024" dataDxfId="219"/>
    <tableColumn id="18" xr3:uid="{00000000-0010-0000-0000-000012000000}" name="Valoare angajată cu TVA" dataDxfId="218"/>
    <tableColumn id="6" xr3:uid="{00000000-0010-0000-0000-000006000000}" name="Data inceperii" dataDxfId="217"/>
    <tableColumn id="7" xr3:uid="{00000000-0010-0000-0000-000007000000}" name="Data finalizarii" dataDxfId="216"/>
    <tableColumn id="8" xr3:uid="{00000000-0010-0000-0000-000008000000}" name="Tip procedura" dataDxfId="215"/>
    <tableColumn id="15" xr3:uid="{00000000-0010-0000-0000-00000F000000}" name="Modalitate derulare" dataDxfId="214"/>
    <tableColumn id="9" xr3:uid="{00000000-0010-0000-0000-000009000000}" name="Responsabil" dataDxfId="213"/>
    <tableColumn id="10" xr3:uid="{00000000-0010-0000-0000-00000A000000}" name="Stare" dataDxfId="212"/>
    <tableColumn id="11" xr3:uid="{00000000-0010-0000-0000-00000B000000}" name="Observații" dataDxfId="211"/>
    <tableColumn id="12" xr3:uid="{00000000-0010-0000-0000-00000C000000}" name="Trimestru" dataDxfId="210" totalsRowDxfId="209"/>
    <tableColumn id="13" xr3:uid="{00000000-0010-0000-0000-00000D000000}" name="Pus disponibil" dataDxfId="208" totalsRowDxfId="207"/>
    <tableColumn id="14" xr3:uid="{00000000-0010-0000-0000-00000E000000}" name="Articol Bugetar" dataDxfId="206" totalsRowDxfId="205"/>
    <tableColumn id="16" xr3:uid="{00000000-0010-0000-0000-000010000000}" name="Prioritate" dataDxfId="204" totalsRowDxfId="203"/>
    <tableColumn id="17" xr3:uid="{00000000-0010-0000-0000-000011000000}" name="Departament solicitant" dataDxfId="202" totalsRowDxfId="201"/>
    <tableColumn id="21" xr3:uid="{4F64EBB6-0208-465C-B7E2-EF6B3B1430C0}" name="Tip ctr" dataDxfId="200" totalsRowDxfId="199"/>
    <tableColumn id="20" xr3:uid="{96587994-A51C-4E95-94FB-5326BC37B0A3}" name="Program multianual 1950" dataDxfId="198" totalsRowDxfId="197"/>
    <tableColumn id="19" xr3:uid="{00000000-0010-0000-0000-000013000000}" name="Procent VA/VEA" dataDxfId="196" totalsRowDxfId="19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Status_lucrare" displayName="Status_lucrare" ref="A24:A33" totalsRowShown="0">
  <autoFilter ref="A24:A33" xr:uid="{00000000-0009-0000-0100-000009000000}"/>
  <tableColumns count="1">
    <tableColumn id="1" xr3:uid="{00000000-0010-0000-0900-000001000000}" name="Statu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Prioritate" displayName="Prioritate" ref="I6:I10" totalsRowShown="0">
  <autoFilter ref="I6:I10" xr:uid="{00000000-0009-0000-0100-00000A000000}"/>
  <tableColumns count="1">
    <tableColumn id="1" xr3:uid="{00000000-0010-0000-0A00-000001000000}" name="Prioritat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Solicitant" displayName="Solicitant" ref="I13:I23" totalsRowShown="0">
  <autoFilter ref="I13:I23" xr:uid="{00000000-0009-0000-0100-00000B000000}"/>
  <tableColumns count="1">
    <tableColumn id="1" xr3:uid="{00000000-0010-0000-0B00-000001000000}" name="Departament solicitant"/>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ista_proiecte" displayName="Lista_proiecte" ref="I25:I42" totalsRowShown="0" headerRowDxfId="6" dataDxfId="5" tableBorderDxfId="4">
  <autoFilter ref="I25:I42" xr:uid="{00000000-0009-0000-0100-00000D000000}"/>
  <tableColumns count="1">
    <tableColumn id="1" xr3:uid="{00000000-0010-0000-0C00-000001000000}" name="Proiecte" dataDxfId="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rimestrializare" displayName="Trimestrializare" ref="I45:I49" totalsRowShown="0" dataDxfId="2" tableBorderDxfId="1">
  <autoFilter ref="I45:I49" xr:uid="{00000000-0009-0000-0100-00000F000000}"/>
  <tableColumns count="1">
    <tableColumn id="1" xr3:uid="{00000000-0010-0000-0D00-000001000000}" name="Trimestrializar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_A1_AD" displayName="Tabel_A1_AD" ref="A7:J138" totalsRowShown="0" headerRowDxfId="194" dataDxfId="193" totalsRowDxfId="191" tableBorderDxfId="192">
  <autoFilter ref="A7:J138" xr:uid="{89D43294-FE40-47DC-B72E-4686DCAF8079}"/>
  <tableColumns count="10">
    <tableColumn id="1" xr3:uid="{00000000-0010-0000-0100-000001000000}" name="Nr. crt." dataDxfId="190"/>
    <tableColumn id="2" xr3:uid="{00000000-0010-0000-0100-000002000000}" name="Obiectul contractului" dataDxfId="189"/>
    <tableColumn id="3" xr3:uid="{00000000-0010-0000-0100-000003000000}" name="CPV Principal" dataDxfId="188"/>
    <tableColumn id="4" xr3:uid="{00000000-0010-0000-0100-000004000000}" name="Valoare estimata _x000a_- lei fără TVA -" dataDxfId="187"/>
    <tableColumn id="5" xr3:uid="{00000000-0010-0000-0100-000005000000}" name="Valoare planif cu TVA - 2024" dataDxfId="186">
      <calculatedColumnFormula>Tabel_A1_AD[[#This Row],[Valoare estimata 
- lei fără TVA -]]*1.19</calculatedColumnFormula>
    </tableColumn>
    <tableColumn id="6" xr3:uid="{00000000-0010-0000-0100-000006000000}" name="Data inceperii" dataDxfId="185"/>
    <tableColumn id="7" xr3:uid="{00000000-0010-0000-0100-000007000000}" name="Data finalizarii" dataDxfId="184"/>
    <tableColumn id="16" xr3:uid="{00000000-0010-0000-0100-000010000000}" name="Tip AD" dataDxfId="183"/>
    <tableColumn id="8" xr3:uid="{00000000-0010-0000-0100-000008000000}" name="Modalitate derulare" dataDxfId="182"/>
    <tableColumn id="10" xr3:uid="{00000000-0010-0000-0100-00000A000000}" name="Stare" dataDxfId="18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_A2_Ex_L98" displayName="Tabel_A2_Ex_L98" ref="A8:M14" totalsRowShown="0" headerRowDxfId="180" dataDxfId="178" totalsRowDxfId="176" headerRowBorderDxfId="179" tableBorderDxfId="177" totalsRowBorderDxfId="175">
  <autoFilter ref="A8:M14" xr:uid="{00000000-0009-0000-0100-000003000000}"/>
  <tableColumns count="13">
    <tableColumn id="1" xr3:uid="{00000000-0010-0000-0200-000001000000}" name="Nr. crt." dataDxfId="174" totalsRowDxfId="173"/>
    <tableColumn id="2" xr3:uid="{00000000-0010-0000-0200-000002000000}" name="Obiectul contractului" dataDxfId="172" totalsRowDxfId="171"/>
    <tableColumn id="3" xr3:uid="{00000000-0010-0000-0200-000003000000}" name="CPV Principal" dataDxfId="170" totalsRowDxfId="169"/>
    <tableColumn id="4" xr3:uid="{00000000-0010-0000-0200-000004000000}" name="Val estimată fără TVA" dataDxfId="168" totalsRowDxfId="167"/>
    <tableColumn id="5" xr3:uid="{00000000-0010-0000-0200-000005000000}" name="Valoare planif cu TVA - 2023" dataDxfId="166" totalsRowDxfId="165"/>
    <tableColumn id="16" xr3:uid="{00000000-0010-0000-0200-000010000000}" name="Valoare angaj cu TVA" dataDxfId="164" totalsRowDxfId="163"/>
    <tableColumn id="6" xr3:uid="{00000000-0010-0000-0200-000006000000}" name="Data inceperii" dataDxfId="162" totalsRowDxfId="161"/>
    <tableColumn id="7" xr3:uid="{00000000-0010-0000-0200-000007000000}" name="Data finalizarii" dataDxfId="160" totalsRowDxfId="159"/>
    <tableColumn id="8" xr3:uid="{00000000-0010-0000-0200-000008000000}" name="Tip procedura" dataDxfId="158" totalsRowDxfId="157"/>
    <tableColumn id="15" xr3:uid="{00000000-0010-0000-0200-00000F000000}" name="Modalitate derulare" dataDxfId="156" totalsRowDxfId="155"/>
    <tableColumn id="9" xr3:uid="{00000000-0010-0000-0200-000009000000}" name="Responsabil" dataDxfId="154" totalsRowDxfId="153"/>
    <tableColumn id="10" xr3:uid="{00000000-0010-0000-0200-00000A000000}" name="Stare" dataDxfId="152" totalsRowDxfId="151"/>
    <tableColumn id="11" xr3:uid="{00000000-0010-0000-0200-00000B000000}" name="Observații" dataDxfId="150" totalsRowDxfId="14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el_Proiecte" displayName="Tabel_Proiecte" ref="A8:Q50" totalsRowShown="0" headerRowDxfId="148" totalsRowDxfId="146" tableBorderDxfId="147">
  <autoFilter ref="A8:Q50" xr:uid="{00000000-0009-0000-0100-00000C000000}"/>
  <tableColumns count="17">
    <tableColumn id="1" xr3:uid="{00000000-0010-0000-0300-000001000000}" name="Nr. crt." dataDxfId="145" totalsRowDxfId="144"/>
    <tableColumn id="2" xr3:uid="{00000000-0010-0000-0300-000002000000}" name="Obiectul contractului" dataDxfId="143" totalsRowDxfId="142"/>
    <tableColumn id="3" xr3:uid="{00000000-0010-0000-0300-000003000000}" name="CPV Principal" dataDxfId="141" totalsRowDxfId="140"/>
    <tableColumn id="4" xr3:uid="{00000000-0010-0000-0300-000004000000}" name="Valoare estimata _x000a_- lei fără TVA -" dataDxfId="139" totalsRowDxfId="138"/>
    <tableColumn id="5" xr3:uid="{00000000-0010-0000-0300-000005000000}" name="Valoarea estimată  pentru 2021 lei fără TVA " dataDxfId="137" totalsRowDxfId="136"/>
    <tableColumn id="16" xr3:uid="{00000000-0010-0000-0300-000010000000}" name="Valoare atribuita" dataDxfId="135" totalsRowDxfId="134"/>
    <tableColumn id="6" xr3:uid="{00000000-0010-0000-0300-000006000000}" name="Data inceperii" dataDxfId="133" totalsRowDxfId="132"/>
    <tableColumn id="7" xr3:uid="{00000000-0010-0000-0300-000007000000}" name="Data finalizarii" dataDxfId="131" totalsRowDxfId="130"/>
    <tableColumn id="8" xr3:uid="{00000000-0010-0000-0300-000008000000}" name="Tip procedura" dataDxfId="129" totalsRowDxfId="128"/>
    <tableColumn id="15" xr3:uid="{00000000-0010-0000-0300-00000F000000}" name="Modalitate derulare" dataDxfId="127" totalsRowDxfId="126"/>
    <tableColumn id="9" xr3:uid="{00000000-0010-0000-0300-000009000000}" name="Responsabil" dataDxfId="125" totalsRowDxfId="124"/>
    <tableColumn id="10" xr3:uid="{00000000-0010-0000-0300-00000A000000}" name="Stare" dataDxfId="123" totalsRowDxfId="122"/>
    <tableColumn id="11" xr3:uid="{00000000-0010-0000-0300-00000B000000}" name="Observații" dataDxfId="121" totalsRowDxfId="120"/>
    <tableColumn id="12" xr3:uid="{00000000-0010-0000-0300-00000C000000}" name="Lista de investitii" dataDxfId="119" totalsRowDxfId="118"/>
    <tableColumn id="13" xr3:uid="{00000000-0010-0000-0300-00000D000000}" name="Pus disponibil" dataDxfId="117" totalsRowDxfId="116"/>
    <tableColumn id="14" xr3:uid="{00000000-0010-0000-0300-00000E000000}" name="Articol Bugetar" dataDxfId="115" totalsRowDxfId="114"/>
    <tableColumn id="17" xr3:uid="{00000000-0010-0000-0300-000011000000}" name="Proiect" dataDxfId="113" totalsRowDxfId="11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Coduri_bugetare" displayName="Coduri_bugetare" ref="E1:F49" totalsRowShown="0">
  <autoFilter ref="E1:F49" xr:uid="{00000000-0009-0000-0100-000004000000}"/>
  <tableColumns count="2">
    <tableColumn id="1" xr3:uid="{00000000-0010-0000-0400-000001000000}" name="Cod bugetar"/>
    <tableColumn id="2" xr3:uid="{00000000-0010-0000-0400-000002000000}" name="Descriere cod bugetar"/>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Disponibil" displayName="Disponibil" ref="I1:I3" totalsRowShown="0">
  <autoFilter ref="I1:I3" xr:uid="{00000000-0009-0000-0100-000005000000}"/>
  <tableColumns count="1">
    <tableColumn id="1" xr3:uid="{00000000-0010-0000-0500-000001000000}" name="Disponibil"/>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Investitii" displayName="Investitii" ref="K1:K3" totalsRowShown="0">
  <autoFilter ref="K1:K3" xr:uid="{00000000-0009-0000-0100-000006000000}"/>
  <tableColumns count="1">
    <tableColumn id="1" xr3:uid="{00000000-0010-0000-0600-000001000000}" name="Investiti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Responsabil_achizitie" displayName="Responsabil_achizitie" ref="A37:A52" totalsRowShown="0" dataDxfId="10">
  <autoFilter ref="A37:A52" xr:uid="{00000000-0009-0000-0100-000007000000}"/>
  <sortState ref="A38:A56">
    <sortCondition ref="A37:A56"/>
  </sortState>
  <tableColumns count="1">
    <tableColumn id="1" xr3:uid="{00000000-0010-0000-0700-000001000000}" name="Responsabil achizitie" dataDxfId="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ipul_Procedurii" displayName="Tipul_Procedurii" ref="A1:A17" totalsRowShown="0" dataDxfId="8">
  <autoFilter ref="A1:A17" xr:uid="{00000000-0009-0000-0100-000008000000}"/>
  <tableColumns count="1">
    <tableColumn id="1" xr3:uid="{00000000-0010-0000-0800-000001000000}" name="Procedura"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8.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60"/>
  <sheetViews>
    <sheetView view="pageBreakPreview" zoomScale="55" zoomScaleNormal="40" zoomScaleSheetLayoutView="55" zoomScalePageLayoutView="60" workbookViewId="0">
      <pane xSplit="2" ySplit="10" topLeftCell="C15" activePane="bottomRight" state="frozen"/>
      <selection pane="topRight" activeCell="C1" sqref="C1"/>
      <selection pane="bottomLeft" activeCell="A10" sqref="A10"/>
      <selection pane="bottomRight" activeCell="E18" sqref="E18"/>
    </sheetView>
  </sheetViews>
  <sheetFormatPr defaultColWidth="9.140625" defaultRowHeight="15" x14ac:dyDescent="0.25"/>
  <cols>
    <col min="1" max="1" width="60.5703125" style="15" customWidth="1"/>
    <col min="2" max="2" width="65.5703125" style="15" customWidth="1"/>
    <col min="3" max="3" width="33" style="15" customWidth="1"/>
    <col min="4" max="4" width="41.85546875" style="15" customWidth="1"/>
    <col min="5" max="5" width="54" style="15" customWidth="1"/>
    <col min="6" max="7" width="36.5703125" style="15" customWidth="1"/>
    <col min="8" max="8" width="34.140625" style="15" customWidth="1"/>
    <col min="9" max="9" width="56.42578125" style="15" customWidth="1"/>
    <col min="10" max="10" width="29.28515625" style="15" customWidth="1"/>
    <col min="11" max="11" width="68.7109375" style="15" customWidth="1"/>
    <col min="12" max="12" width="47.7109375" style="15" customWidth="1"/>
    <col min="13" max="13" width="100" style="214" customWidth="1"/>
    <col min="14" max="14" width="17.7109375" style="15" hidden="1" customWidth="1"/>
    <col min="15" max="15" width="19" style="15" hidden="1" customWidth="1"/>
    <col min="16" max="16" width="23" style="15" hidden="1" customWidth="1"/>
    <col min="17" max="17" width="20.42578125" style="15" hidden="1" customWidth="1"/>
    <col min="18" max="20" width="29.42578125" style="15" hidden="1" customWidth="1"/>
    <col min="21" max="21" width="18.28515625" style="15" hidden="1" customWidth="1"/>
    <col min="22" max="16384" width="9.140625" style="15"/>
  </cols>
  <sheetData>
    <row r="1" spans="1:21" s="160" customFormat="1" ht="46.5" x14ac:dyDescent="0.45">
      <c r="B1" s="177" t="s">
        <v>431</v>
      </c>
      <c r="I1" s="167"/>
      <c r="J1" s="167"/>
      <c r="K1" s="357" t="s">
        <v>121</v>
      </c>
      <c r="L1" s="357"/>
      <c r="M1" s="357"/>
    </row>
    <row r="2" spans="1:21" s="160" customFormat="1" ht="37.5" customHeight="1" x14ac:dyDescent="0.45">
      <c r="B2" s="161"/>
      <c r="I2" s="167"/>
      <c r="J2" s="167"/>
      <c r="K2" s="357" t="s">
        <v>122</v>
      </c>
      <c r="L2" s="357"/>
      <c r="M2" s="357"/>
    </row>
    <row r="3" spans="1:21" s="160" customFormat="1" ht="46.5" x14ac:dyDescent="0.7">
      <c r="B3" s="161"/>
      <c r="C3" s="302"/>
      <c r="D3" s="302"/>
      <c r="E3" s="303"/>
      <c r="H3" s="166"/>
      <c r="I3" s="165"/>
      <c r="J3" s="167"/>
      <c r="K3" s="357" t="s">
        <v>340</v>
      </c>
      <c r="L3" s="357"/>
      <c r="M3" s="357"/>
    </row>
    <row r="4" spans="1:21" s="160" customFormat="1" ht="46.5" x14ac:dyDescent="0.7">
      <c r="B4" s="161"/>
      <c r="C4" s="365" t="s">
        <v>538</v>
      </c>
      <c r="D4" s="365"/>
      <c r="E4" s="303"/>
      <c r="I4" s="167"/>
      <c r="J4" s="167"/>
      <c r="K4" s="357" t="s">
        <v>436</v>
      </c>
      <c r="L4" s="357"/>
      <c r="M4" s="357"/>
    </row>
    <row r="5" spans="1:21" s="160" customFormat="1" ht="99" customHeight="1" x14ac:dyDescent="0.7">
      <c r="B5" s="161"/>
      <c r="C5" s="364" t="s">
        <v>462</v>
      </c>
      <c r="D5" s="364"/>
      <c r="E5" s="303"/>
      <c r="I5" s="167"/>
      <c r="J5" s="167"/>
      <c r="K5" s="297"/>
      <c r="L5" s="297"/>
      <c r="M5" s="297"/>
    </row>
    <row r="6" spans="1:21" s="160" customFormat="1" ht="46.5" x14ac:dyDescent="0.7">
      <c r="B6" s="161"/>
      <c r="C6" s="302"/>
      <c r="D6" s="302"/>
      <c r="E6" s="303"/>
      <c r="I6" s="165"/>
      <c r="J6" s="165"/>
      <c r="K6" s="165"/>
      <c r="L6" s="165"/>
      <c r="M6" s="213"/>
    </row>
    <row r="7" spans="1:21" s="160" customFormat="1" ht="36" x14ac:dyDescent="0.45">
      <c r="A7" s="359" t="s">
        <v>576</v>
      </c>
      <c r="B7" s="359"/>
      <c r="C7" s="359"/>
      <c r="D7" s="359"/>
      <c r="E7" s="359"/>
      <c r="F7" s="359"/>
      <c r="G7" s="359"/>
      <c r="H7" s="359"/>
      <c r="I7" s="359"/>
      <c r="J7" s="359"/>
      <c r="K7" s="359"/>
      <c r="L7" s="359"/>
      <c r="M7" s="359"/>
    </row>
    <row r="8" spans="1:21" s="160" customFormat="1" ht="96.75" customHeight="1" x14ac:dyDescent="0.45">
      <c r="A8" s="360" t="s">
        <v>435</v>
      </c>
      <c r="B8" s="360"/>
      <c r="C8" s="360"/>
      <c r="D8" s="360"/>
      <c r="E8" s="360"/>
      <c r="F8" s="360"/>
      <c r="G8" s="360"/>
      <c r="H8" s="360"/>
      <c r="I8" s="360"/>
      <c r="J8" s="360"/>
      <c r="K8" s="360"/>
      <c r="L8" s="360"/>
      <c r="M8" s="360"/>
    </row>
    <row r="10" spans="1:21" s="189" customFormat="1" ht="135" x14ac:dyDescent="0.5">
      <c r="A10" s="216" t="s">
        <v>0</v>
      </c>
      <c r="B10" s="217" t="s">
        <v>1</v>
      </c>
      <c r="C10" s="217" t="s">
        <v>2</v>
      </c>
      <c r="D10" s="217" t="s">
        <v>414</v>
      </c>
      <c r="E10" s="217" t="s">
        <v>461</v>
      </c>
      <c r="F10" s="217" t="s">
        <v>413</v>
      </c>
      <c r="G10" s="217" t="s">
        <v>4</v>
      </c>
      <c r="H10" s="217" t="s">
        <v>5</v>
      </c>
      <c r="I10" s="217" t="s">
        <v>6</v>
      </c>
      <c r="J10" s="217" t="s">
        <v>152</v>
      </c>
      <c r="K10" s="217" t="s">
        <v>7</v>
      </c>
      <c r="L10" s="217" t="s">
        <v>8</v>
      </c>
      <c r="M10" s="218" t="s">
        <v>9</v>
      </c>
      <c r="N10" s="219" t="s">
        <v>328</v>
      </c>
      <c r="O10" s="219" t="s">
        <v>11</v>
      </c>
      <c r="P10" s="219" t="s">
        <v>12</v>
      </c>
      <c r="Q10" s="220" t="s">
        <v>186</v>
      </c>
      <c r="R10" s="220" t="s">
        <v>187</v>
      </c>
      <c r="S10" s="220" t="s">
        <v>403</v>
      </c>
      <c r="T10" s="220" t="s">
        <v>405</v>
      </c>
      <c r="U10" s="220" t="s">
        <v>337</v>
      </c>
    </row>
    <row r="11" spans="1:21" s="189" customFormat="1" ht="123" x14ac:dyDescent="0.5">
      <c r="A11" s="316" t="s">
        <v>565</v>
      </c>
      <c r="B11" s="325" t="s">
        <v>566</v>
      </c>
      <c r="C11" s="316" t="s">
        <v>567</v>
      </c>
      <c r="D11" s="313">
        <v>5060016</v>
      </c>
      <c r="E11" s="313">
        <f>PAAP[[#This Row],[Valoare estimată 
- lei fără TVA -]]*1.19</f>
        <v>6021419.04</v>
      </c>
      <c r="F11" s="313"/>
      <c r="G11" s="319" t="s">
        <v>568</v>
      </c>
      <c r="H11" s="319" t="s">
        <v>569</v>
      </c>
      <c r="I11" s="316" t="s">
        <v>13</v>
      </c>
      <c r="J11" s="316" t="s">
        <v>150</v>
      </c>
      <c r="K11" s="316" t="s">
        <v>570</v>
      </c>
      <c r="L11" s="316" t="s">
        <v>201</v>
      </c>
      <c r="M11" s="314" t="s">
        <v>475</v>
      </c>
      <c r="N11" s="326"/>
      <c r="O11" s="327"/>
      <c r="P11" s="328"/>
      <c r="Q11" s="329"/>
      <c r="R11" s="329"/>
      <c r="S11" s="330"/>
      <c r="T11" s="330"/>
      <c r="U11" s="331"/>
    </row>
    <row r="12" spans="1:21" s="189" customFormat="1" ht="276.75" x14ac:dyDescent="0.5">
      <c r="A12" s="316" t="s">
        <v>571</v>
      </c>
      <c r="B12" s="325" t="s">
        <v>572</v>
      </c>
      <c r="C12" s="316" t="s">
        <v>573</v>
      </c>
      <c r="D12" s="313">
        <v>2927870</v>
      </c>
      <c r="E12" s="313">
        <f>PAAP[[#This Row],[Valoare estimată 
- lei fără TVA -]]*1.19</f>
        <v>3484165.3</v>
      </c>
      <c r="F12" s="313"/>
      <c r="G12" s="319" t="s">
        <v>568</v>
      </c>
      <c r="H12" s="319" t="s">
        <v>569</v>
      </c>
      <c r="I12" s="316" t="s">
        <v>13</v>
      </c>
      <c r="J12" s="316" t="s">
        <v>150</v>
      </c>
      <c r="K12" s="316" t="s">
        <v>574</v>
      </c>
      <c r="L12" s="316" t="s">
        <v>201</v>
      </c>
      <c r="M12" s="314" t="s">
        <v>575</v>
      </c>
      <c r="N12" s="326"/>
      <c r="O12" s="327"/>
      <c r="P12" s="328"/>
      <c r="Q12" s="329"/>
      <c r="R12" s="329"/>
      <c r="S12" s="330"/>
      <c r="T12" s="330"/>
      <c r="U12" s="331"/>
    </row>
    <row r="13" spans="1:21" s="189" customFormat="1" ht="215.25" x14ac:dyDescent="0.5">
      <c r="A13" s="279" t="s">
        <v>458</v>
      </c>
      <c r="B13" s="280" t="s">
        <v>459</v>
      </c>
      <c r="C13" s="279" t="s">
        <v>460</v>
      </c>
      <c r="D13" s="281">
        <v>15710000</v>
      </c>
      <c r="E13" s="288">
        <f>PAAP[[#This Row],[Valoare estimată 
- lei fără TVA -]]*1.19</f>
        <v>18694900</v>
      </c>
      <c r="F13" s="281"/>
      <c r="G13" s="283">
        <v>45163</v>
      </c>
      <c r="H13" s="283">
        <v>45296</v>
      </c>
      <c r="I13" s="279" t="s">
        <v>13</v>
      </c>
      <c r="J13" s="279" t="s">
        <v>150</v>
      </c>
      <c r="K13" s="279" t="s">
        <v>422</v>
      </c>
      <c r="L13" s="279" t="s">
        <v>202</v>
      </c>
      <c r="M13" s="314" t="s">
        <v>475</v>
      </c>
      <c r="N13" s="265"/>
      <c r="O13" s="265"/>
      <c r="P13" s="266"/>
      <c r="Q13" s="277"/>
      <c r="R13" s="277"/>
      <c r="S13" s="185"/>
      <c r="T13" s="185"/>
      <c r="U13" s="278"/>
    </row>
    <row r="14" spans="1:21" s="189" customFormat="1" ht="153.75" x14ac:dyDescent="0.5">
      <c r="A14" s="316" t="s">
        <v>577</v>
      </c>
      <c r="B14" s="314" t="s">
        <v>578</v>
      </c>
      <c r="C14" s="316" t="s">
        <v>579</v>
      </c>
      <c r="D14" s="313">
        <v>6500000</v>
      </c>
      <c r="E14" s="313">
        <f>PAAP[[#This Row],[Valoare estimată 
- lei fără TVA -]]*1.19</f>
        <v>7735000</v>
      </c>
      <c r="F14" s="313"/>
      <c r="G14" s="319" t="s">
        <v>580</v>
      </c>
      <c r="H14" s="319" t="s">
        <v>581</v>
      </c>
      <c r="I14" s="316" t="s">
        <v>13</v>
      </c>
      <c r="J14" s="316" t="s">
        <v>150</v>
      </c>
      <c r="K14" s="316" t="s">
        <v>421</v>
      </c>
      <c r="L14" s="316" t="s">
        <v>583</v>
      </c>
      <c r="M14" s="332" t="s">
        <v>582</v>
      </c>
      <c r="N14" s="326"/>
      <c r="O14" s="327"/>
      <c r="P14" s="328"/>
      <c r="Q14" s="329"/>
      <c r="R14" s="329"/>
      <c r="S14" s="330"/>
      <c r="T14" s="330"/>
      <c r="U14" s="331"/>
    </row>
    <row r="15" spans="1:21" ht="168" customHeight="1" x14ac:dyDescent="0.25">
      <c r="A15" s="279" t="s">
        <v>463</v>
      </c>
      <c r="B15" s="280" t="s">
        <v>464</v>
      </c>
      <c r="C15" s="279" t="s">
        <v>465</v>
      </c>
      <c r="D15" s="281">
        <v>2280000</v>
      </c>
      <c r="E15" s="281">
        <f>PAAP[[#This Row],[Valoare estimată 
- lei fără TVA -]]*1.19</f>
        <v>2713200</v>
      </c>
      <c r="F15" s="282"/>
      <c r="G15" s="283">
        <v>45245</v>
      </c>
      <c r="H15" s="283">
        <v>45310</v>
      </c>
      <c r="I15" s="279" t="s">
        <v>13</v>
      </c>
      <c r="J15" s="279" t="s">
        <v>150</v>
      </c>
      <c r="K15" s="279" t="s">
        <v>421</v>
      </c>
      <c r="L15" s="324" t="s">
        <v>201</v>
      </c>
      <c r="M15" s="314" t="s">
        <v>476</v>
      </c>
      <c r="N15" s="183" t="s">
        <v>329</v>
      </c>
      <c r="O15" s="183" t="s">
        <v>24</v>
      </c>
      <c r="P15" s="197" t="s">
        <v>135</v>
      </c>
      <c r="Q15" s="183" t="s">
        <v>190</v>
      </c>
      <c r="R15" s="183" t="s">
        <v>198</v>
      </c>
      <c r="S15" s="183" t="s">
        <v>404</v>
      </c>
      <c r="T15" s="183" t="s">
        <v>24</v>
      </c>
      <c r="U15" s="192"/>
    </row>
    <row r="16" spans="1:21" ht="224.25" customHeight="1" x14ac:dyDescent="0.25">
      <c r="A16" s="279" t="s">
        <v>466</v>
      </c>
      <c r="B16" s="280" t="s">
        <v>467</v>
      </c>
      <c r="C16" s="279" t="s">
        <v>468</v>
      </c>
      <c r="D16" s="281">
        <v>3048000</v>
      </c>
      <c r="E16" s="281">
        <f>PAAP[[#This Row],[Valoare estimată 
- lei fără TVA -]]*1.19</f>
        <v>3627120</v>
      </c>
      <c r="F16" s="282"/>
      <c r="G16" s="283">
        <v>45281</v>
      </c>
      <c r="H16" s="283">
        <v>45408</v>
      </c>
      <c r="I16" s="279" t="s">
        <v>13</v>
      </c>
      <c r="J16" s="279" t="s">
        <v>150</v>
      </c>
      <c r="K16" s="279" t="s">
        <v>426</v>
      </c>
      <c r="L16" s="279" t="s">
        <v>199</v>
      </c>
      <c r="M16" s="314" t="s">
        <v>587</v>
      </c>
      <c r="N16" s="183" t="s">
        <v>329</v>
      </c>
      <c r="O16" s="183" t="s">
        <v>15</v>
      </c>
      <c r="P16" s="197" t="s">
        <v>35</v>
      </c>
      <c r="Q16" s="183" t="s">
        <v>189</v>
      </c>
      <c r="R16" s="183" t="s">
        <v>196</v>
      </c>
      <c r="S16" s="183" t="s">
        <v>404</v>
      </c>
      <c r="T16" s="183" t="s">
        <v>24</v>
      </c>
      <c r="U16" s="192"/>
    </row>
    <row r="17" spans="1:21" ht="224.25" customHeight="1" x14ac:dyDescent="0.25">
      <c r="A17" s="279" t="s">
        <v>469</v>
      </c>
      <c r="B17" s="280" t="s">
        <v>470</v>
      </c>
      <c r="C17" s="279" t="s">
        <v>471</v>
      </c>
      <c r="D17" s="281">
        <v>1400000</v>
      </c>
      <c r="E17" s="281">
        <f>PAAP[[#This Row],[Valoare estimată 
- lei fără TVA -]]*1.19</f>
        <v>1666000</v>
      </c>
      <c r="F17" s="281"/>
      <c r="G17" s="283" t="s">
        <v>585</v>
      </c>
      <c r="H17" s="283" t="s">
        <v>586</v>
      </c>
      <c r="I17" s="279" t="s">
        <v>19</v>
      </c>
      <c r="J17" s="279" t="s">
        <v>150</v>
      </c>
      <c r="K17" s="279" t="s">
        <v>425</v>
      </c>
      <c r="L17" s="279" t="s">
        <v>199</v>
      </c>
      <c r="M17" s="314" t="s">
        <v>584</v>
      </c>
      <c r="N17" s="265"/>
      <c r="O17" s="265"/>
      <c r="P17" s="266"/>
      <c r="Q17" s="265"/>
      <c r="R17" s="265"/>
      <c r="S17" s="185"/>
      <c r="T17" s="185"/>
      <c r="U17" s="267"/>
    </row>
    <row r="18" spans="1:21" ht="131.44999999999999" customHeight="1" x14ac:dyDescent="0.25">
      <c r="A18" s="279" t="s">
        <v>472</v>
      </c>
      <c r="B18" s="280" t="s">
        <v>473</v>
      </c>
      <c r="C18" s="281" t="s">
        <v>474</v>
      </c>
      <c r="D18" s="313">
        <v>300360</v>
      </c>
      <c r="E18" s="282">
        <f>PAAP[[#This Row],[Valoare estimată 
- lei fără TVA -]]*1.19</f>
        <v>357428.39999999997</v>
      </c>
      <c r="F18" s="282"/>
      <c r="G18" s="283">
        <v>45244</v>
      </c>
      <c r="H18" s="283">
        <v>45365</v>
      </c>
      <c r="I18" s="279" t="s">
        <v>19</v>
      </c>
      <c r="J18" s="279" t="s">
        <v>150</v>
      </c>
      <c r="K18" s="279" t="s">
        <v>425</v>
      </c>
      <c r="L18" s="279" t="s">
        <v>199</v>
      </c>
      <c r="M18" s="314" t="s">
        <v>475</v>
      </c>
      <c r="N18" s="183" t="s">
        <v>329</v>
      </c>
      <c r="O18" s="183" t="s">
        <v>15</v>
      </c>
      <c r="P18" s="197" t="s">
        <v>28</v>
      </c>
      <c r="Q18" s="183" t="s">
        <v>188</v>
      </c>
      <c r="R18" s="183" t="s">
        <v>196</v>
      </c>
      <c r="S18" s="183" t="s">
        <v>404</v>
      </c>
      <c r="T18" s="183" t="s">
        <v>24</v>
      </c>
      <c r="U18" s="192"/>
    </row>
    <row r="19" spans="1:21" ht="151.15" hidden="1" customHeight="1" x14ac:dyDescent="0.25">
      <c r="A19" s="289"/>
      <c r="B19" s="290"/>
      <c r="C19" s="289"/>
      <c r="D19" s="291"/>
      <c r="E19" s="292"/>
      <c r="F19" s="292"/>
      <c r="G19" s="301"/>
      <c r="H19" s="301"/>
      <c r="I19" s="289"/>
      <c r="J19" s="289"/>
      <c r="K19" s="289"/>
      <c r="L19" s="293"/>
      <c r="M19" s="272"/>
      <c r="N19" s="183" t="s">
        <v>329</v>
      </c>
      <c r="O19" s="183" t="s">
        <v>24</v>
      </c>
      <c r="P19" s="197" t="s">
        <v>16</v>
      </c>
      <c r="Q19" s="183" t="s">
        <v>189</v>
      </c>
      <c r="R19" s="183" t="s">
        <v>196</v>
      </c>
      <c r="S19" s="183" t="s">
        <v>406</v>
      </c>
      <c r="T19" s="183" t="s">
        <v>15</v>
      </c>
      <c r="U19" s="192"/>
    </row>
    <row r="20" spans="1:21" ht="154.15" hidden="1" customHeight="1" x14ac:dyDescent="0.25">
      <c r="A20" s="279"/>
      <c r="B20" s="280"/>
      <c r="C20" s="279"/>
      <c r="D20" s="281"/>
      <c r="E20" s="282"/>
      <c r="F20" s="282"/>
      <c r="G20" s="273"/>
      <c r="H20" s="273"/>
      <c r="I20" s="279"/>
      <c r="J20" s="279"/>
      <c r="K20" s="279"/>
      <c r="L20" s="279"/>
      <c r="M20" s="272"/>
      <c r="N20" s="183" t="s">
        <v>329</v>
      </c>
      <c r="O20" s="183" t="s">
        <v>24</v>
      </c>
      <c r="P20" s="197" t="s">
        <v>17</v>
      </c>
      <c r="Q20" s="183" t="s">
        <v>189</v>
      </c>
      <c r="R20" s="183" t="s">
        <v>196</v>
      </c>
      <c r="S20" s="183" t="s">
        <v>404</v>
      </c>
      <c r="T20" s="183" t="s">
        <v>24</v>
      </c>
      <c r="U20" s="192"/>
    </row>
    <row r="21" spans="1:21" ht="154.15" hidden="1" customHeight="1" x14ac:dyDescent="0.25">
      <c r="A21" s="279"/>
      <c r="B21" s="280"/>
      <c r="C21" s="279"/>
      <c r="D21" s="281"/>
      <c r="E21" s="282"/>
      <c r="F21" s="282"/>
      <c r="G21" s="273"/>
      <c r="H21" s="273"/>
      <c r="I21" s="279"/>
      <c r="J21" s="279"/>
      <c r="K21" s="279"/>
      <c r="L21" s="279"/>
      <c r="M21" s="272"/>
      <c r="N21" s="265"/>
      <c r="O21" s="265"/>
      <c r="P21" s="266"/>
      <c r="Q21" s="265"/>
      <c r="R21" s="265"/>
      <c r="S21" s="185"/>
      <c r="T21" s="185"/>
      <c r="U21" s="267"/>
    </row>
    <row r="22" spans="1:21" ht="132.75" hidden="1" customHeight="1" x14ac:dyDescent="0.25">
      <c r="A22" s="279"/>
      <c r="B22" s="280"/>
      <c r="C22" s="279"/>
      <c r="D22" s="281"/>
      <c r="E22" s="282"/>
      <c r="F22" s="282"/>
      <c r="G22" s="283"/>
      <c r="H22" s="283"/>
      <c r="I22" s="279"/>
      <c r="J22" s="279"/>
      <c r="K22" s="279"/>
      <c r="L22" s="262"/>
      <c r="M22" s="272"/>
      <c r="N22" s="183" t="s">
        <v>329</v>
      </c>
      <c r="O22" s="183" t="s">
        <v>15</v>
      </c>
      <c r="P22" s="197" t="s">
        <v>35</v>
      </c>
      <c r="Q22" s="183" t="s">
        <v>188</v>
      </c>
      <c r="R22" s="183" t="s">
        <v>196</v>
      </c>
      <c r="S22" s="183" t="s">
        <v>404</v>
      </c>
      <c r="T22" s="183" t="s">
        <v>24</v>
      </c>
      <c r="U22" s="192"/>
    </row>
    <row r="23" spans="1:21" s="48" customFormat="1" ht="122.25" hidden="1" customHeight="1" x14ac:dyDescent="0.3">
      <c r="A23" s="279"/>
      <c r="B23" s="280"/>
      <c r="C23" s="279"/>
      <c r="D23" s="281"/>
      <c r="E23" s="281"/>
      <c r="F23" s="282"/>
      <c r="G23" s="283"/>
      <c r="H23" s="283"/>
      <c r="I23" s="279"/>
      <c r="J23" s="279"/>
      <c r="K23" s="279"/>
      <c r="L23" s="279"/>
      <c r="M23" s="272"/>
      <c r="N23" s="183" t="s">
        <v>329</v>
      </c>
      <c r="O23" s="183" t="s">
        <v>24</v>
      </c>
      <c r="P23" s="197" t="s">
        <v>25</v>
      </c>
      <c r="Q23" s="183" t="s">
        <v>190</v>
      </c>
      <c r="R23" s="183" t="s">
        <v>198</v>
      </c>
      <c r="S23" s="183" t="s">
        <v>404</v>
      </c>
      <c r="T23" s="183" t="s">
        <v>24</v>
      </c>
      <c r="U23" s="192"/>
    </row>
    <row r="24" spans="1:21" s="48" customFormat="1" ht="33.75" hidden="1" x14ac:dyDescent="0.3">
      <c r="A24" s="284"/>
      <c r="B24" s="285"/>
      <c r="C24" s="284"/>
      <c r="D24" s="286"/>
      <c r="E24" s="286"/>
      <c r="F24" s="287"/>
      <c r="G24" s="300"/>
      <c r="H24" s="294"/>
      <c r="I24" s="284"/>
      <c r="J24" s="284"/>
      <c r="K24" s="284"/>
      <c r="L24" s="262"/>
      <c r="M24" s="272"/>
      <c r="N24" s="183" t="s">
        <v>329</v>
      </c>
      <c r="O24" s="183" t="s">
        <v>24</v>
      </c>
      <c r="P24" s="197" t="s">
        <v>25</v>
      </c>
      <c r="Q24" s="183" t="s">
        <v>189</v>
      </c>
      <c r="R24" s="183" t="s">
        <v>198</v>
      </c>
      <c r="S24" s="183" t="s">
        <v>404</v>
      </c>
      <c r="T24" s="183" t="s">
        <v>24</v>
      </c>
      <c r="U24" s="192"/>
    </row>
    <row r="25" spans="1:21" s="48" customFormat="1" ht="193.9" hidden="1" customHeight="1" x14ac:dyDescent="0.5">
      <c r="A25" s="279"/>
      <c r="B25" s="280"/>
      <c r="C25" s="279"/>
      <c r="D25" s="281"/>
      <c r="E25" s="281"/>
      <c r="F25" s="287"/>
      <c r="G25" s="273"/>
      <c r="H25" s="273"/>
      <c r="I25" s="279"/>
      <c r="J25" s="279"/>
      <c r="K25" s="279"/>
      <c r="L25" s="262"/>
      <c r="M25" s="295"/>
      <c r="N25" s="183" t="s">
        <v>330</v>
      </c>
      <c r="O25" s="193" t="s">
        <v>24</v>
      </c>
      <c r="P25" s="198" t="s">
        <v>31</v>
      </c>
      <c r="Q25" s="183" t="s">
        <v>190</v>
      </c>
      <c r="R25" s="182" t="s">
        <v>198</v>
      </c>
      <c r="S25" s="183" t="s">
        <v>404</v>
      </c>
      <c r="T25" s="183" t="s">
        <v>24</v>
      </c>
      <c r="U25" s="195"/>
    </row>
    <row r="26" spans="1:21" s="48" customFormat="1" ht="185.45" hidden="1" customHeight="1" x14ac:dyDescent="0.5">
      <c r="A26" s="279"/>
      <c r="B26" s="280"/>
      <c r="C26" s="279"/>
      <c r="D26" s="281"/>
      <c r="E26" s="281"/>
      <c r="F26" s="287"/>
      <c r="G26" s="283"/>
      <c r="H26" s="283"/>
      <c r="I26" s="279"/>
      <c r="J26" s="279"/>
      <c r="K26" s="262"/>
      <c r="L26" s="279"/>
      <c r="M26" s="295"/>
      <c r="N26" s="183" t="s">
        <v>329</v>
      </c>
      <c r="O26" s="193" t="s">
        <v>24</v>
      </c>
      <c r="P26" s="198" t="s">
        <v>25</v>
      </c>
      <c r="Q26" s="183" t="s">
        <v>190</v>
      </c>
      <c r="R26" s="182" t="s">
        <v>198</v>
      </c>
      <c r="S26" s="183" t="s">
        <v>404</v>
      </c>
      <c r="T26" s="183" t="s">
        <v>24</v>
      </c>
      <c r="U26" s="195"/>
    </row>
    <row r="27" spans="1:21" s="48" customFormat="1" ht="165.6" hidden="1" customHeight="1" x14ac:dyDescent="0.5">
      <c r="A27" s="279"/>
      <c r="B27" s="280"/>
      <c r="C27" s="279"/>
      <c r="D27" s="281"/>
      <c r="E27" s="281"/>
      <c r="F27" s="282"/>
      <c r="G27" s="283"/>
      <c r="H27" s="283"/>
      <c r="I27" s="279"/>
      <c r="J27" s="279"/>
      <c r="K27" s="279"/>
      <c r="L27" s="262"/>
      <c r="M27" s="295"/>
      <c r="N27" s="183" t="s">
        <v>331</v>
      </c>
      <c r="O27" s="193" t="s">
        <v>24</v>
      </c>
      <c r="P27" s="198" t="s">
        <v>32</v>
      </c>
      <c r="Q27" s="183" t="s">
        <v>189</v>
      </c>
      <c r="R27" s="182" t="s">
        <v>198</v>
      </c>
      <c r="S27" s="183" t="s">
        <v>404</v>
      </c>
      <c r="T27" s="183" t="s">
        <v>24</v>
      </c>
      <c r="U27" s="195"/>
    </row>
    <row r="28" spans="1:21" s="164" customFormat="1" ht="236.45" hidden="1" customHeight="1" x14ac:dyDescent="0.5">
      <c r="A28" s="262"/>
      <c r="B28" s="272"/>
      <c r="C28" s="262"/>
      <c r="D28" s="296"/>
      <c r="E28" s="282"/>
      <c r="F28" s="282"/>
      <c r="G28" s="273"/>
      <c r="H28" s="273"/>
      <c r="I28" s="262"/>
      <c r="J28" s="262"/>
      <c r="K28" s="262"/>
      <c r="L28" s="262"/>
      <c r="M28" s="272"/>
      <c r="N28" s="183" t="s">
        <v>331</v>
      </c>
      <c r="O28" s="193" t="s">
        <v>24</v>
      </c>
      <c r="P28" s="197" t="s">
        <v>25</v>
      </c>
      <c r="Q28" s="183" t="s">
        <v>190</v>
      </c>
      <c r="R28" s="182" t="s">
        <v>198</v>
      </c>
      <c r="S28" s="183" t="s">
        <v>404</v>
      </c>
      <c r="T28" s="183" t="s">
        <v>24</v>
      </c>
      <c r="U28" s="195"/>
    </row>
    <row r="29" spans="1:21" s="130" customFormat="1" ht="65.45" hidden="1" customHeight="1" x14ac:dyDescent="0.5">
      <c r="A29" s="243"/>
      <c r="B29" s="246"/>
      <c r="C29" s="243"/>
      <c r="D29" s="244"/>
      <c r="E29" s="244"/>
      <c r="F29" s="244"/>
      <c r="G29" s="245"/>
      <c r="H29" s="245"/>
      <c r="I29" s="243"/>
      <c r="J29" s="243"/>
      <c r="K29" s="243"/>
      <c r="L29" s="243"/>
      <c r="M29" s="261"/>
      <c r="N29" s="183" t="s">
        <v>330</v>
      </c>
      <c r="O29" s="193" t="s">
        <v>24</v>
      </c>
      <c r="P29" s="197" t="s">
        <v>17</v>
      </c>
      <c r="Q29" s="183" t="s">
        <v>188</v>
      </c>
      <c r="R29" s="182" t="s">
        <v>196</v>
      </c>
      <c r="S29" s="183" t="s">
        <v>406</v>
      </c>
      <c r="T29" s="183" t="s">
        <v>24</v>
      </c>
      <c r="U29" s="194"/>
    </row>
    <row r="30" spans="1:21" s="48" customFormat="1" ht="65.45" hidden="1" customHeight="1" x14ac:dyDescent="0.5">
      <c r="A30" s="243"/>
      <c r="B30" s="246"/>
      <c r="C30" s="243"/>
      <c r="D30" s="244"/>
      <c r="E30" s="244"/>
      <c r="F30" s="244"/>
      <c r="G30" s="245"/>
      <c r="H30" s="245"/>
      <c r="I30" s="243"/>
      <c r="J30" s="243"/>
      <c r="K30" s="243"/>
      <c r="L30" s="243"/>
      <c r="M30" s="261"/>
      <c r="N30" s="183" t="s">
        <v>329</v>
      </c>
      <c r="O30" s="193" t="s">
        <v>24</v>
      </c>
      <c r="P30" s="197" t="s">
        <v>25</v>
      </c>
      <c r="Q30" s="183" t="s">
        <v>188</v>
      </c>
      <c r="R30" s="182" t="s">
        <v>196</v>
      </c>
      <c r="S30" s="183" t="s">
        <v>404</v>
      </c>
      <c r="T30" s="183" t="s">
        <v>24</v>
      </c>
      <c r="U30" s="195"/>
    </row>
    <row r="31" spans="1:21" s="48" customFormat="1" ht="65.45" hidden="1" customHeight="1" x14ac:dyDescent="0.5">
      <c r="A31" s="243"/>
      <c r="B31" s="246"/>
      <c r="C31" s="243"/>
      <c r="D31" s="244"/>
      <c r="E31" s="244"/>
      <c r="F31" s="244"/>
      <c r="G31" s="245"/>
      <c r="H31" s="245"/>
      <c r="I31" s="243"/>
      <c r="J31" s="243"/>
      <c r="K31" s="243"/>
      <c r="L31" s="243"/>
      <c r="M31" s="261"/>
      <c r="N31" s="183" t="s">
        <v>329</v>
      </c>
      <c r="O31" s="193" t="s">
        <v>24</v>
      </c>
      <c r="P31" s="198" t="s">
        <v>35</v>
      </c>
      <c r="Q31" s="183" t="s">
        <v>188</v>
      </c>
      <c r="R31" s="182" t="s">
        <v>196</v>
      </c>
      <c r="S31" s="183" t="s">
        <v>404</v>
      </c>
      <c r="T31" s="183" t="s">
        <v>24</v>
      </c>
      <c r="U31" s="195"/>
    </row>
    <row r="32" spans="1:21" s="48" customFormat="1" ht="65.45" hidden="1" customHeight="1" x14ac:dyDescent="0.5">
      <c r="A32" s="243"/>
      <c r="B32" s="246"/>
      <c r="C32" s="243"/>
      <c r="D32" s="244"/>
      <c r="E32" s="244"/>
      <c r="F32" s="244"/>
      <c r="G32" s="245"/>
      <c r="H32" s="245"/>
      <c r="I32" s="243"/>
      <c r="J32" s="243"/>
      <c r="K32" s="243"/>
      <c r="L32" s="243"/>
      <c r="M32" s="261"/>
      <c r="N32" s="183" t="s">
        <v>330</v>
      </c>
      <c r="O32" s="193" t="s">
        <v>24</v>
      </c>
      <c r="P32" s="198" t="s">
        <v>35</v>
      </c>
      <c r="Q32" s="183" t="s">
        <v>189</v>
      </c>
      <c r="R32" s="182" t="s">
        <v>196</v>
      </c>
      <c r="S32" s="183" t="s">
        <v>406</v>
      </c>
      <c r="T32" s="183" t="s">
        <v>24</v>
      </c>
      <c r="U32" s="195"/>
    </row>
    <row r="33" spans="1:21" s="48" customFormat="1" ht="65.45" hidden="1" customHeight="1" x14ac:dyDescent="0.5">
      <c r="A33" s="243"/>
      <c r="B33" s="246"/>
      <c r="C33" s="243"/>
      <c r="D33" s="244"/>
      <c r="E33" s="244"/>
      <c r="F33" s="244"/>
      <c r="G33" s="245"/>
      <c r="H33" s="245"/>
      <c r="I33" s="243"/>
      <c r="J33" s="243"/>
      <c r="K33" s="243"/>
      <c r="L33" s="243"/>
      <c r="M33" s="261"/>
      <c r="N33" s="183" t="s">
        <v>329</v>
      </c>
      <c r="O33" s="193" t="s">
        <v>24</v>
      </c>
      <c r="P33" s="197" t="s">
        <v>17</v>
      </c>
      <c r="Q33" s="183" t="s">
        <v>188</v>
      </c>
      <c r="R33" s="182" t="s">
        <v>196</v>
      </c>
      <c r="S33" s="183" t="s">
        <v>406</v>
      </c>
      <c r="T33" s="183" t="s">
        <v>24</v>
      </c>
      <c r="U33" s="195"/>
    </row>
    <row r="34" spans="1:21" s="239" customFormat="1" ht="65.45" hidden="1" customHeight="1" x14ac:dyDescent="0.5">
      <c r="A34" s="243"/>
      <c r="B34" s="246"/>
      <c r="C34" s="243"/>
      <c r="D34" s="244"/>
      <c r="E34" s="244"/>
      <c r="F34" s="244"/>
      <c r="G34" s="245"/>
      <c r="H34" s="245"/>
      <c r="I34" s="243"/>
      <c r="J34" s="243"/>
      <c r="K34" s="243"/>
      <c r="L34" s="243"/>
      <c r="M34" s="261"/>
      <c r="N34" s="179"/>
      <c r="O34" s="179"/>
      <c r="P34" s="247"/>
      <c r="Q34" s="179"/>
      <c r="R34" s="178"/>
      <c r="S34" s="179" t="s">
        <v>406</v>
      </c>
      <c r="T34" s="248" t="s">
        <v>15</v>
      </c>
      <c r="U34" s="249"/>
    </row>
    <row r="35" spans="1:21" s="242" customFormat="1" ht="65.45" hidden="1" customHeight="1" x14ac:dyDescent="0.5">
      <c r="A35" s="262"/>
      <c r="B35" s="246"/>
      <c r="C35" s="243"/>
      <c r="D35" s="244"/>
      <c r="E35" s="244"/>
      <c r="F35" s="244"/>
      <c r="G35" s="245"/>
      <c r="H35" s="245"/>
      <c r="I35" s="243"/>
      <c r="J35" s="243"/>
      <c r="K35" s="243"/>
      <c r="L35" s="243"/>
      <c r="M35" s="261"/>
      <c r="N35" s="181" t="s">
        <v>331</v>
      </c>
      <c r="O35" s="181" t="s">
        <v>24</v>
      </c>
      <c r="P35" s="240" t="s">
        <v>17</v>
      </c>
      <c r="Q35" s="181" t="s">
        <v>188</v>
      </c>
      <c r="R35" s="180" t="s">
        <v>196</v>
      </c>
      <c r="S35" s="181" t="s">
        <v>406</v>
      </c>
      <c r="T35" s="181" t="s">
        <v>24</v>
      </c>
      <c r="U35" s="241"/>
    </row>
    <row r="36" spans="1:21" s="130" customFormat="1" ht="65.45" hidden="1" customHeight="1" x14ac:dyDescent="0.5">
      <c r="A36" s="262"/>
      <c r="B36" s="246"/>
      <c r="C36" s="243"/>
      <c r="D36" s="244"/>
      <c r="E36" s="244"/>
      <c r="F36" s="244"/>
      <c r="G36" s="245"/>
      <c r="H36" s="245"/>
      <c r="I36" s="243"/>
      <c r="J36" s="243"/>
      <c r="K36" s="243"/>
      <c r="L36" s="243"/>
      <c r="M36" s="261"/>
      <c r="N36" s="183" t="s">
        <v>330</v>
      </c>
      <c r="O36" s="183" t="s">
        <v>24</v>
      </c>
      <c r="P36" s="197" t="s">
        <v>17</v>
      </c>
      <c r="Q36" s="183" t="s">
        <v>188</v>
      </c>
      <c r="R36" s="182" t="s">
        <v>196</v>
      </c>
      <c r="S36" s="183" t="s">
        <v>406</v>
      </c>
      <c r="T36" s="183" t="s">
        <v>15</v>
      </c>
      <c r="U36" s="196"/>
    </row>
    <row r="37" spans="1:21" s="130" customFormat="1" ht="65.45" hidden="1" customHeight="1" x14ac:dyDescent="0.5">
      <c r="A37" s="262"/>
      <c r="B37" s="246"/>
      <c r="C37" s="243"/>
      <c r="D37" s="244"/>
      <c r="E37" s="244"/>
      <c r="F37" s="244"/>
      <c r="G37" s="245"/>
      <c r="H37" s="245"/>
      <c r="I37" s="243"/>
      <c r="J37" s="243"/>
      <c r="K37" s="243"/>
      <c r="L37" s="243"/>
      <c r="M37" s="261"/>
      <c r="N37" s="183"/>
      <c r="O37" s="183"/>
      <c r="P37" s="197"/>
      <c r="Q37" s="183"/>
      <c r="R37" s="182"/>
      <c r="S37" s="185"/>
      <c r="T37" s="185"/>
      <c r="U37" s="199"/>
    </row>
    <row r="38" spans="1:21" s="130" customFormat="1" ht="65.45" hidden="1" customHeight="1" x14ac:dyDescent="0.5">
      <c r="A38" s="262"/>
      <c r="B38" s="246"/>
      <c r="C38" s="243"/>
      <c r="D38" s="244"/>
      <c r="E38" s="244"/>
      <c r="F38" s="244"/>
      <c r="G38" s="245"/>
      <c r="H38" s="245"/>
      <c r="I38" s="243"/>
      <c r="J38" s="243"/>
      <c r="K38" s="243"/>
      <c r="L38" s="243"/>
      <c r="M38" s="261"/>
      <c r="N38" s="183" t="s">
        <v>329</v>
      </c>
      <c r="O38" s="183" t="s">
        <v>24</v>
      </c>
      <c r="P38" s="197" t="s">
        <v>17</v>
      </c>
      <c r="Q38" s="183" t="s">
        <v>188</v>
      </c>
      <c r="R38" s="182" t="s">
        <v>196</v>
      </c>
      <c r="S38" s="183" t="s">
        <v>406</v>
      </c>
      <c r="T38" s="183" t="s">
        <v>15</v>
      </c>
      <c r="U38" s="199"/>
    </row>
    <row r="39" spans="1:21" s="130" customFormat="1" ht="65.45" hidden="1" customHeight="1" x14ac:dyDescent="0.5">
      <c r="A39" s="260"/>
      <c r="B39" s="256"/>
      <c r="C39" s="255"/>
      <c r="D39" s="257"/>
      <c r="E39" s="257"/>
      <c r="F39" s="257"/>
      <c r="G39" s="258"/>
      <c r="H39" s="258"/>
      <c r="I39" s="255"/>
      <c r="J39" s="255"/>
      <c r="K39" s="255"/>
      <c r="L39" s="255"/>
      <c r="M39" s="259"/>
      <c r="N39" s="183" t="s">
        <v>330</v>
      </c>
      <c r="O39" s="183" t="s">
        <v>24</v>
      </c>
      <c r="P39" s="197" t="s">
        <v>25</v>
      </c>
      <c r="Q39" s="183" t="s">
        <v>188</v>
      </c>
      <c r="R39" s="182" t="s">
        <v>198</v>
      </c>
      <c r="S39" s="183" t="s">
        <v>404</v>
      </c>
      <c r="T39" s="183" t="s">
        <v>24</v>
      </c>
      <c r="U39" s="195"/>
    </row>
    <row r="40" spans="1:21" ht="65.45" hidden="1" customHeight="1" x14ac:dyDescent="0.55000000000000004">
      <c r="A40" s="221" t="s">
        <v>128</v>
      </c>
      <c r="B40" s="222"/>
      <c r="C40" s="222"/>
      <c r="D40" s="223">
        <f>SUBTOTAL(109,PAAP[Valoare estimată 
- lei fără TVA -])</f>
        <v>37226246</v>
      </c>
      <c r="E40" s="223">
        <f>SUBTOTAL(109,PAAP[Valoare planificată cu TVA - 2024])</f>
        <v>44299232.740000002</v>
      </c>
      <c r="F40" s="224"/>
      <c r="G40" s="222"/>
      <c r="H40" s="222"/>
      <c r="I40" s="222"/>
      <c r="J40" s="222"/>
      <c r="K40" s="222"/>
      <c r="L40" s="222"/>
      <c r="M40" s="225"/>
      <c r="N40" s="188"/>
      <c r="O40" s="188"/>
      <c r="P40" s="186"/>
      <c r="Q40" s="187"/>
      <c r="R40" s="187"/>
      <c r="S40" s="187"/>
      <c r="T40" s="187"/>
      <c r="U40" s="187"/>
    </row>
    <row r="41" spans="1:21" ht="65.45" customHeight="1" x14ac:dyDescent="0.55000000000000004">
      <c r="A41" s="226"/>
      <c r="B41" s="227"/>
      <c r="C41" s="227"/>
      <c r="D41" s="228"/>
      <c r="E41" s="228"/>
      <c r="F41" s="228"/>
      <c r="G41" s="227"/>
      <c r="H41" s="227"/>
      <c r="I41" s="227"/>
      <c r="J41" s="227"/>
      <c r="K41" s="229"/>
      <c r="L41" s="229"/>
      <c r="M41" s="230"/>
      <c r="N41" s="190"/>
      <c r="O41" s="190"/>
      <c r="P41" s="184"/>
      <c r="Q41" s="189"/>
      <c r="R41" s="189"/>
      <c r="S41" s="189"/>
      <c r="T41" s="189"/>
      <c r="U41" s="189"/>
    </row>
    <row r="42" spans="1:21" ht="46.5" x14ac:dyDescent="0.5">
      <c r="A42" s="231"/>
      <c r="B42" s="361" t="s">
        <v>146</v>
      </c>
      <c r="C42" s="361"/>
      <c r="D42" s="361"/>
      <c r="E42" s="235"/>
      <c r="F42" s="235"/>
      <c r="G42" s="236"/>
      <c r="H42" s="236"/>
      <c r="I42" s="237"/>
      <c r="J42" s="237"/>
      <c r="K42" s="361" t="s">
        <v>117</v>
      </c>
      <c r="L42" s="361"/>
      <c r="M42" s="361"/>
      <c r="N42" s="189"/>
      <c r="O42" s="189"/>
      <c r="P42" s="189"/>
      <c r="Q42" s="189"/>
      <c r="R42" s="189"/>
      <c r="S42" s="189"/>
      <c r="T42" s="189"/>
      <c r="U42" s="189"/>
    </row>
    <row r="43" spans="1:21" ht="46.5" x14ac:dyDescent="0.5">
      <c r="A43" s="231"/>
      <c r="B43" s="361" t="s">
        <v>432</v>
      </c>
      <c r="C43" s="361"/>
      <c r="D43" s="361"/>
      <c r="E43" s="235"/>
      <c r="F43" s="235"/>
      <c r="G43" s="236"/>
      <c r="H43" s="236"/>
      <c r="I43" s="237"/>
      <c r="J43" s="237"/>
      <c r="K43" s="361" t="s">
        <v>416</v>
      </c>
      <c r="L43" s="361"/>
      <c r="M43" s="361"/>
      <c r="N43" s="189"/>
      <c r="O43" s="189"/>
      <c r="P43" s="189"/>
      <c r="Q43" s="189"/>
      <c r="R43" s="189"/>
      <c r="S43" s="189"/>
      <c r="T43" s="189"/>
      <c r="U43" s="189"/>
    </row>
    <row r="44" spans="1:21" ht="46.5" x14ac:dyDescent="0.5">
      <c r="A44" s="231"/>
      <c r="B44" s="361" t="s">
        <v>433</v>
      </c>
      <c r="C44" s="361"/>
      <c r="D44" s="361"/>
      <c r="E44" s="235"/>
      <c r="F44" s="235"/>
      <c r="G44" s="236"/>
      <c r="H44" s="236"/>
      <c r="I44" s="237"/>
      <c r="J44" s="237"/>
      <c r="K44" s="361" t="s">
        <v>429</v>
      </c>
      <c r="L44" s="361"/>
      <c r="M44" s="361"/>
      <c r="N44" s="189"/>
      <c r="O44" s="189"/>
      <c r="P44" s="189"/>
      <c r="Q44" s="189"/>
      <c r="R44" s="189"/>
      <c r="S44" s="189"/>
      <c r="T44" s="189"/>
      <c r="U44" s="189"/>
    </row>
    <row r="45" spans="1:21" ht="46.5" x14ac:dyDescent="0.5">
      <c r="A45" s="231"/>
      <c r="B45" s="238"/>
      <c r="C45" s="238"/>
      <c r="D45" s="238"/>
      <c r="E45" s="235"/>
      <c r="F45" s="235"/>
      <c r="G45" s="236"/>
      <c r="H45" s="236"/>
      <c r="I45" s="237"/>
      <c r="J45" s="237"/>
      <c r="K45" s="238"/>
      <c r="L45" s="238"/>
      <c r="M45" s="238"/>
      <c r="N45" s="189"/>
      <c r="O45" s="189"/>
      <c r="P45" s="189"/>
      <c r="Q45" s="189"/>
      <c r="R45" s="189"/>
      <c r="S45" s="189"/>
      <c r="T45" s="189"/>
      <c r="U45" s="189"/>
    </row>
    <row r="46" spans="1:21" ht="46.5" x14ac:dyDescent="0.5">
      <c r="A46" s="231"/>
      <c r="B46" s="361" t="s">
        <v>415</v>
      </c>
      <c r="C46" s="361"/>
      <c r="D46" s="361"/>
      <c r="E46" s="235"/>
      <c r="F46" s="235"/>
      <c r="G46" s="236"/>
      <c r="H46" s="236"/>
      <c r="I46" s="237"/>
      <c r="J46" s="237"/>
      <c r="K46" s="361"/>
      <c r="L46" s="361"/>
      <c r="M46" s="361"/>
      <c r="N46" s="189"/>
      <c r="O46" s="189"/>
      <c r="P46" s="189"/>
      <c r="Q46" s="189"/>
      <c r="R46" s="189"/>
      <c r="S46" s="189"/>
      <c r="T46" s="189"/>
      <c r="U46" s="189"/>
    </row>
    <row r="47" spans="1:21" ht="46.5" x14ac:dyDescent="0.7">
      <c r="A47" s="231"/>
      <c r="B47" s="362" t="s">
        <v>456</v>
      </c>
      <c r="C47" s="362"/>
      <c r="D47" s="362"/>
      <c r="E47" s="235"/>
      <c r="F47" s="235"/>
      <c r="G47" s="236"/>
      <c r="H47" s="236"/>
      <c r="I47" s="237"/>
      <c r="J47" s="237"/>
      <c r="K47" s="362"/>
      <c r="L47" s="362"/>
      <c r="M47" s="362"/>
      <c r="N47" s="189"/>
      <c r="O47" s="189"/>
      <c r="P47" s="189"/>
      <c r="Q47" s="189"/>
      <c r="R47" s="189"/>
      <c r="S47" s="189"/>
      <c r="T47" s="189"/>
      <c r="U47" s="189"/>
    </row>
    <row r="48" spans="1:21" ht="46.5" x14ac:dyDescent="0.7">
      <c r="A48" s="231"/>
      <c r="B48" s="268"/>
      <c r="C48" s="268"/>
      <c r="D48" s="268"/>
      <c r="E48" s="235"/>
      <c r="F48" s="235"/>
      <c r="G48" s="236"/>
      <c r="H48" s="236"/>
      <c r="I48" s="237"/>
      <c r="J48" s="237"/>
      <c r="K48" s="268"/>
      <c r="L48" s="268"/>
      <c r="M48" s="269"/>
      <c r="N48" s="189"/>
      <c r="O48" s="189"/>
      <c r="P48" s="189"/>
      <c r="Q48" s="189"/>
      <c r="R48" s="189"/>
      <c r="S48" s="189"/>
      <c r="T48" s="189"/>
      <c r="U48" s="189"/>
    </row>
    <row r="49" spans="1:21" ht="46.5" x14ac:dyDescent="0.5">
      <c r="A49" s="231"/>
      <c r="B49" s="361" t="s">
        <v>155</v>
      </c>
      <c r="C49" s="361"/>
      <c r="D49" s="361"/>
      <c r="E49" s="235"/>
      <c r="F49" s="235"/>
      <c r="G49" s="236"/>
      <c r="H49" s="236"/>
      <c r="I49" s="237"/>
      <c r="J49" s="237"/>
      <c r="K49" s="361" t="s">
        <v>155</v>
      </c>
      <c r="L49" s="361"/>
      <c r="M49" s="361"/>
      <c r="N49" s="189"/>
      <c r="O49" s="189"/>
      <c r="P49" s="189"/>
      <c r="Q49" s="189"/>
      <c r="R49" s="189"/>
      <c r="S49" s="189"/>
      <c r="T49" s="189"/>
      <c r="U49" s="189"/>
    </row>
    <row r="50" spans="1:21" ht="46.5" x14ac:dyDescent="0.55000000000000004">
      <c r="A50" s="232"/>
      <c r="B50" s="361" t="s">
        <v>457</v>
      </c>
      <c r="C50" s="361"/>
      <c r="D50" s="361"/>
      <c r="E50" s="235"/>
      <c r="F50" s="235"/>
      <c r="G50" s="235"/>
      <c r="H50" s="235"/>
      <c r="I50" s="238"/>
      <c r="J50" s="238"/>
      <c r="K50" s="363" t="s">
        <v>210</v>
      </c>
      <c r="L50" s="363"/>
      <c r="M50" s="363"/>
      <c r="N50" s="189"/>
      <c r="O50" s="189"/>
      <c r="P50" s="189"/>
      <c r="Q50" s="189"/>
      <c r="R50" s="189"/>
      <c r="S50" s="189"/>
      <c r="T50" s="189"/>
      <c r="U50" s="189"/>
    </row>
    <row r="51" spans="1:21" ht="36" x14ac:dyDescent="0.55000000000000004">
      <c r="A51" s="232"/>
      <c r="B51" s="233"/>
      <c r="C51" s="233"/>
      <c r="D51" s="233"/>
      <c r="E51" s="231"/>
      <c r="F51" s="231"/>
      <c r="G51" s="231"/>
      <c r="H51" s="231"/>
      <c r="I51" s="233"/>
      <c r="J51" s="233"/>
      <c r="K51" s="270"/>
      <c r="L51" s="270"/>
      <c r="M51" s="271"/>
      <c r="N51" s="189"/>
      <c r="O51" s="189"/>
      <c r="P51" s="189"/>
      <c r="Q51" s="189"/>
      <c r="R51" s="189"/>
      <c r="S51" s="189"/>
      <c r="T51" s="189"/>
      <c r="U51" s="189"/>
    </row>
    <row r="52" spans="1:21" ht="36" x14ac:dyDescent="0.55000000000000004">
      <c r="A52" s="232"/>
      <c r="B52" s="358"/>
      <c r="C52" s="358"/>
      <c r="D52" s="358"/>
      <c r="E52" s="231"/>
      <c r="F52" s="231"/>
      <c r="G52" s="231"/>
      <c r="H52" s="231"/>
      <c r="I52" s="234"/>
      <c r="J52" s="234"/>
      <c r="K52" s="358"/>
      <c r="L52" s="358"/>
      <c r="M52" s="358"/>
      <c r="N52" s="189"/>
      <c r="O52" s="189"/>
      <c r="P52" s="189"/>
      <c r="Q52" s="189"/>
      <c r="R52" s="189"/>
      <c r="S52" s="189"/>
      <c r="T52" s="189"/>
      <c r="U52" s="189"/>
    </row>
    <row r="53" spans="1:21" ht="36" x14ac:dyDescent="0.55000000000000004">
      <c r="A53" s="232"/>
      <c r="B53" s="358"/>
      <c r="C53" s="358"/>
      <c r="D53" s="358"/>
      <c r="E53" s="231"/>
      <c r="F53" s="231"/>
      <c r="G53" s="231"/>
      <c r="H53" s="231"/>
      <c r="I53" s="234"/>
      <c r="J53" s="234"/>
      <c r="K53" s="366" t="s">
        <v>210</v>
      </c>
      <c r="L53" s="366"/>
      <c r="M53" s="366"/>
      <c r="N53" s="189"/>
      <c r="O53" s="189"/>
      <c r="P53" s="189"/>
      <c r="Q53" s="189"/>
      <c r="R53" s="189"/>
      <c r="S53" s="189"/>
      <c r="T53" s="189"/>
      <c r="U53" s="189"/>
    </row>
    <row r="54" spans="1:21" ht="36" x14ac:dyDescent="0.55000000000000004">
      <c r="A54" s="232"/>
      <c r="B54" s="233"/>
      <c r="C54" s="233"/>
      <c r="D54" s="233"/>
      <c r="E54" s="231"/>
      <c r="F54" s="231"/>
      <c r="G54" s="231"/>
      <c r="H54" s="231"/>
      <c r="I54" s="233"/>
      <c r="J54" s="233"/>
      <c r="K54" s="233"/>
      <c r="L54" s="233"/>
      <c r="M54" s="201"/>
      <c r="N54" s="189"/>
      <c r="O54" s="189"/>
      <c r="P54" s="189"/>
      <c r="Q54" s="189"/>
      <c r="R54" s="189"/>
      <c r="S54" s="189"/>
      <c r="T54" s="189"/>
      <c r="U54" s="189"/>
    </row>
    <row r="55" spans="1:21" ht="36" x14ac:dyDescent="0.55000000000000004">
      <c r="A55" s="232"/>
      <c r="B55" s="233"/>
      <c r="C55" s="233"/>
      <c r="D55" s="233"/>
      <c r="E55" s="231"/>
      <c r="F55" s="231"/>
      <c r="G55" s="231"/>
      <c r="H55" s="231"/>
      <c r="I55" s="233"/>
      <c r="J55" s="233"/>
      <c r="K55" s="233"/>
      <c r="L55" s="233"/>
      <c r="M55" s="201"/>
      <c r="N55" s="189"/>
      <c r="O55" s="189"/>
      <c r="P55" s="189"/>
      <c r="Q55" s="189"/>
      <c r="R55" s="189"/>
      <c r="S55" s="189"/>
      <c r="T55" s="189"/>
      <c r="U55" s="189"/>
    </row>
    <row r="56" spans="1:21" ht="36" x14ac:dyDescent="0.55000000000000004">
      <c r="A56" s="232"/>
      <c r="B56" s="201"/>
      <c r="C56" s="231"/>
      <c r="D56" s="231"/>
      <c r="E56" s="231"/>
      <c r="F56" s="231"/>
      <c r="G56" s="231"/>
      <c r="H56" s="231"/>
      <c r="I56" s="233"/>
      <c r="J56" s="233"/>
      <c r="K56" s="233"/>
      <c r="L56" s="233"/>
      <c r="M56" s="201"/>
      <c r="N56" s="189"/>
      <c r="O56" s="189"/>
      <c r="P56" s="189"/>
      <c r="Q56" s="189"/>
      <c r="R56" s="189"/>
      <c r="S56" s="189"/>
      <c r="T56" s="189"/>
      <c r="U56" s="189"/>
    </row>
    <row r="57" spans="1:21" ht="33.75" x14ac:dyDescent="0.5">
      <c r="A57" s="189"/>
      <c r="B57" s="191"/>
      <c r="C57" s="184"/>
      <c r="D57" s="184"/>
      <c r="E57" s="184"/>
      <c r="F57" s="184"/>
      <c r="G57" s="184"/>
      <c r="H57" s="184"/>
      <c r="I57" s="190"/>
      <c r="J57" s="190"/>
      <c r="K57" s="190"/>
      <c r="L57" s="190"/>
      <c r="M57" s="191"/>
      <c r="N57" s="189"/>
      <c r="O57" s="189"/>
      <c r="P57" s="189"/>
      <c r="Q57" s="189"/>
      <c r="R57" s="189"/>
      <c r="S57" s="189"/>
      <c r="T57" s="189"/>
      <c r="U57" s="189"/>
    </row>
    <row r="58" spans="1:21" ht="33.75" x14ac:dyDescent="0.5">
      <c r="A58" s="189"/>
      <c r="B58" s="191"/>
      <c r="C58" s="184"/>
      <c r="D58" s="184"/>
      <c r="E58" s="184"/>
      <c r="F58" s="184"/>
      <c r="G58" s="184"/>
      <c r="H58" s="184"/>
      <c r="I58" s="190"/>
      <c r="J58" s="190"/>
      <c r="K58" s="190"/>
      <c r="L58" s="190"/>
      <c r="M58" s="191"/>
      <c r="N58" s="189"/>
      <c r="O58" s="189"/>
      <c r="P58" s="189"/>
      <c r="Q58" s="189"/>
      <c r="R58" s="189"/>
      <c r="S58" s="189"/>
      <c r="T58" s="189"/>
      <c r="U58" s="189"/>
    </row>
    <row r="59" spans="1:21" ht="33.75" x14ac:dyDescent="0.5">
      <c r="A59" s="189"/>
      <c r="B59" s="191"/>
      <c r="C59" s="184"/>
      <c r="D59" s="184"/>
      <c r="E59" s="184"/>
      <c r="F59" s="184"/>
      <c r="G59" s="184"/>
      <c r="H59" s="184"/>
      <c r="I59" s="190"/>
      <c r="J59" s="190"/>
      <c r="K59" s="190"/>
      <c r="L59" s="190"/>
      <c r="M59" s="191"/>
      <c r="N59" s="189"/>
      <c r="O59" s="189"/>
      <c r="P59" s="189"/>
      <c r="Q59" s="189"/>
      <c r="R59" s="189"/>
      <c r="S59" s="189"/>
      <c r="T59" s="189"/>
      <c r="U59" s="189"/>
    </row>
    <row r="60" spans="1:21" ht="33.75" x14ac:dyDescent="0.5">
      <c r="A60" s="189"/>
      <c r="B60" s="189"/>
      <c r="C60" s="189"/>
      <c r="D60" s="189"/>
      <c r="E60" s="189"/>
      <c r="F60" s="189"/>
      <c r="G60" s="189"/>
      <c r="H60" s="189"/>
      <c r="I60" s="189"/>
      <c r="J60" s="189"/>
      <c r="K60" s="189"/>
      <c r="L60" s="189"/>
      <c r="M60" s="215"/>
      <c r="N60" s="189"/>
      <c r="O60" s="189"/>
      <c r="P60" s="189"/>
      <c r="Q60" s="189"/>
      <c r="R60" s="189"/>
      <c r="S60" s="189"/>
      <c r="T60" s="189"/>
      <c r="U60" s="189"/>
    </row>
  </sheetData>
  <sheetProtection sort="0" autoFilter="0" pivotTables="0"/>
  <mergeCells count="26">
    <mergeCell ref="K53:M53"/>
    <mergeCell ref="B53:D53"/>
    <mergeCell ref="K47:M47"/>
    <mergeCell ref="B42:D42"/>
    <mergeCell ref="K42:M42"/>
    <mergeCell ref="B49:D49"/>
    <mergeCell ref="B50:D50"/>
    <mergeCell ref="K46:M46"/>
    <mergeCell ref="B44:D44"/>
    <mergeCell ref="K43:M43"/>
    <mergeCell ref="K44:M44"/>
    <mergeCell ref="K1:M1"/>
    <mergeCell ref="K2:M2"/>
    <mergeCell ref="K3:M3"/>
    <mergeCell ref="K4:M4"/>
    <mergeCell ref="B52:D52"/>
    <mergeCell ref="K52:M52"/>
    <mergeCell ref="A7:M7"/>
    <mergeCell ref="A8:M8"/>
    <mergeCell ref="B46:D46"/>
    <mergeCell ref="B47:D47"/>
    <mergeCell ref="K49:M49"/>
    <mergeCell ref="K50:M50"/>
    <mergeCell ref="B43:D43"/>
    <mergeCell ref="C5:D5"/>
    <mergeCell ref="C4:D4"/>
  </mergeCells>
  <phoneticPr fontId="39" type="noConversion"/>
  <dataValidations count="10">
    <dataValidation type="list" allowBlank="1" showInputMessage="1" showErrorMessage="1" sqref="K30:K39 K13:K28" xr:uid="{00000000-0002-0000-0000-000004000000}">
      <formula1>responsabil_achiz</formula1>
    </dataValidation>
    <dataValidation type="list" allowBlank="1" showInputMessage="1" showErrorMessage="1" sqref="I11:I39" xr:uid="{00000000-0002-0000-0000-000000000000}">
      <formula1>tip_procedura</formula1>
    </dataValidation>
    <dataValidation type="list" allowBlank="1" showInputMessage="1" showErrorMessage="1" sqref="J11:J39" xr:uid="{00000000-0002-0000-0000-000005000000}">
      <formula1>mod_derulare</formula1>
    </dataValidation>
    <dataValidation type="list" allowBlank="1" showInputMessage="1" showErrorMessage="1" sqref="P11:P39" xr:uid="{00000000-0002-0000-0000-000002000000}">
      <formula1>art_buget</formula1>
    </dataValidation>
    <dataValidation type="list" allowBlank="1" showInputMessage="1" showErrorMessage="1" sqref="O11:O39" xr:uid="{00000000-0002-0000-0000-000003000000}">
      <formula1>"DA, NU"</formula1>
    </dataValidation>
    <dataValidation type="list" allowBlank="1" showInputMessage="1" showErrorMessage="1" sqref="Q11:Q39" xr:uid="{00000000-0002-0000-0000-000006000000}">
      <formula1>"Q1,Q2,Q3,Q4"</formula1>
    </dataValidation>
    <dataValidation type="list" allowBlank="1" showInputMessage="1" showErrorMessage="1" sqref="R11:R39" xr:uid="{00000000-0002-0000-0000-000007000000}">
      <formula1>dir_solicitanta</formula1>
    </dataValidation>
    <dataValidation type="list" allowBlank="1" showInputMessage="1" showErrorMessage="1" sqref="N11:N39" xr:uid="{00000000-0002-0000-0000-000008000000}">
      <formula1>"Trim I, Trim II, Trim III, Trim IV"</formula1>
    </dataValidation>
    <dataValidation type="list" allowBlank="1" showInputMessage="1" showErrorMessage="1" sqref="T11:T39" xr:uid="{75DE77BB-1BF5-47A5-A2AE-6E868840F908}">
      <formula1>"DA,NU"</formula1>
    </dataValidation>
    <dataValidation type="list" allowBlank="1" showInputMessage="1" showErrorMessage="1" sqref="S11:S39" xr:uid="{273BE105-836F-43DA-9E18-83F0B358C277}">
      <formula1>"CAP,AC"</formula1>
    </dataValidation>
  </dataValidations>
  <pageMargins left="0.23622047244094491" right="0.11811023622047245" top="0.35433070866141736" bottom="0.23622047244094491" header="0.31496062992125984" footer="7.874015748031496E-2"/>
  <pageSetup paperSize="9" scale="20" orientation="landscape" r:id="rId1"/>
  <headerFooter differentFirst="1">
    <oddFooter>&amp;R&amp;"Trebuchet MS,Regular"&amp;28Pag. &amp;P/&amp;N</oddFooter>
    <firstFooter>&amp;R&amp;22Pag. &amp;P/&amp;N</firstFooter>
  </headerFooter>
  <rowBreaks count="1" manualBreakCount="1">
    <brk id="26" max="12"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156"/>
  <sheetViews>
    <sheetView tabSelected="1" view="pageBreakPreview" topLeftCell="A126" zoomScale="70" zoomScaleNormal="75" zoomScaleSheetLayoutView="70" zoomScalePageLayoutView="50" workbookViewId="0">
      <selection activeCell="J111" sqref="J111"/>
    </sheetView>
  </sheetViews>
  <sheetFormatPr defaultColWidth="9.140625" defaultRowHeight="15" x14ac:dyDescent="0.25"/>
  <cols>
    <col min="1" max="1" width="33.7109375" style="15" customWidth="1"/>
    <col min="2" max="2" width="142.42578125" style="15" customWidth="1"/>
    <col min="3" max="3" width="40.5703125" style="15" customWidth="1"/>
    <col min="4" max="4" width="38.5703125" style="15" customWidth="1"/>
    <col min="5" max="5" width="47.28515625" style="15" customWidth="1"/>
    <col min="6" max="6" width="37.85546875" style="15" customWidth="1"/>
    <col min="7" max="7" width="37.42578125" style="15" customWidth="1"/>
    <col min="8" max="8" width="37.42578125" style="15" hidden="1" customWidth="1"/>
    <col min="9" max="9" width="32.28515625" style="15" customWidth="1"/>
    <col min="10" max="10" width="40.7109375" style="15" customWidth="1"/>
    <col min="11" max="16384" width="9.140625" style="15"/>
  </cols>
  <sheetData>
    <row r="1" spans="1:10" s="204" customFormat="1" ht="56.25" customHeight="1" x14ac:dyDescent="0.55000000000000004">
      <c r="A1" s="207"/>
      <c r="B1" s="201" t="s">
        <v>431</v>
      </c>
      <c r="C1" s="232"/>
      <c r="D1" s="232"/>
      <c r="E1" s="207"/>
      <c r="F1" s="207"/>
      <c r="G1" s="207"/>
      <c r="H1" s="207"/>
      <c r="I1" s="359"/>
      <c r="J1" s="359"/>
    </row>
    <row r="2" spans="1:10" s="204" customFormat="1" ht="26.25" customHeight="1" x14ac:dyDescent="0.55000000000000004">
      <c r="A2" s="211"/>
      <c r="B2" s="212"/>
      <c r="C2" s="232"/>
      <c r="D2" s="232"/>
      <c r="E2" s="211"/>
      <c r="F2" s="211"/>
      <c r="G2" s="211"/>
      <c r="H2" s="211"/>
      <c r="I2" s="339"/>
      <c r="J2" s="339"/>
    </row>
    <row r="3" spans="1:10" s="204" customFormat="1" ht="33.75" x14ac:dyDescent="0.3">
      <c r="A3" s="368" t="s">
        <v>160</v>
      </c>
      <c r="B3" s="368"/>
      <c r="C3" s="368"/>
      <c r="D3" s="368"/>
      <c r="E3" s="368"/>
      <c r="F3" s="368"/>
      <c r="G3" s="368"/>
      <c r="H3" s="368"/>
      <c r="I3" s="368"/>
      <c r="J3" s="368"/>
    </row>
    <row r="4" spans="1:10" s="204" customFormat="1" ht="33.75" x14ac:dyDescent="0.3">
      <c r="A4" s="368" t="s">
        <v>588</v>
      </c>
      <c r="B4" s="368"/>
      <c r="C4" s="368"/>
      <c r="D4" s="368"/>
      <c r="E4" s="368"/>
      <c r="F4" s="368"/>
      <c r="G4" s="368"/>
      <c r="H4" s="368"/>
      <c r="I4" s="368"/>
      <c r="J4" s="368"/>
    </row>
    <row r="5" spans="1:10" s="204" customFormat="1" ht="68.25" customHeight="1" x14ac:dyDescent="0.3">
      <c r="A5" s="369" t="s">
        <v>124</v>
      </c>
      <c r="B5" s="369"/>
      <c r="C5" s="369"/>
      <c r="D5" s="369"/>
      <c r="E5" s="369"/>
      <c r="F5" s="369"/>
      <c r="G5" s="369"/>
      <c r="H5" s="369"/>
      <c r="I5" s="369"/>
      <c r="J5" s="369"/>
    </row>
    <row r="6" spans="1:10" ht="36" customHeight="1" x14ac:dyDescent="0.25"/>
    <row r="7" spans="1:10" ht="134.25" customHeight="1" x14ac:dyDescent="0.25">
      <c r="A7" s="208" t="s">
        <v>0</v>
      </c>
      <c r="B7" s="209" t="s">
        <v>1</v>
      </c>
      <c r="C7" s="209" t="s">
        <v>2</v>
      </c>
      <c r="D7" s="210" t="s">
        <v>3</v>
      </c>
      <c r="E7" s="210" t="s">
        <v>637</v>
      </c>
      <c r="F7" s="209" t="s">
        <v>4</v>
      </c>
      <c r="G7" s="209" t="s">
        <v>5</v>
      </c>
      <c r="H7" s="209" t="s">
        <v>171</v>
      </c>
      <c r="I7" s="210" t="s">
        <v>152</v>
      </c>
      <c r="J7" s="209" t="s">
        <v>8</v>
      </c>
    </row>
    <row r="8" spans="1:10" s="274" customFormat="1" ht="61.5" x14ac:dyDescent="0.5">
      <c r="A8" s="279" t="s">
        <v>439</v>
      </c>
      <c r="B8" s="280" t="s">
        <v>440</v>
      </c>
      <c r="C8" s="279" t="s">
        <v>441</v>
      </c>
      <c r="D8" s="281">
        <v>1568.15</v>
      </c>
      <c r="E8" s="281">
        <f>Tabel_A1_AD[[#This Row],[Valoare estimata 
- lei fără TVA -]]*1.19</f>
        <v>1866.0985000000001</v>
      </c>
      <c r="F8" s="283" t="s">
        <v>442</v>
      </c>
      <c r="G8" s="283" t="s">
        <v>443</v>
      </c>
      <c r="H8" s="279"/>
      <c r="I8" s="279" t="s">
        <v>150</v>
      </c>
      <c r="J8" s="279" t="s">
        <v>607</v>
      </c>
    </row>
    <row r="9" spans="1:10" s="275" customFormat="1" ht="61.5" x14ac:dyDescent="0.5">
      <c r="A9" s="279" t="s">
        <v>444</v>
      </c>
      <c r="B9" s="280" t="s">
        <v>428</v>
      </c>
      <c r="C9" s="279" t="s">
        <v>417</v>
      </c>
      <c r="D9" s="281">
        <v>240656</v>
      </c>
      <c r="E9" s="281">
        <f>Tabel_A1_AD[[#This Row],[Valoare estimata 
- lei fără TVA -]]*1.19</f>
        <v>286380.64</v>
      </c>
      <c r="F9" s="283" t="s">
        <v>445</v>
      </c>
      <c r="G9" s="283" t="s">
        <v>446</v>
      </c>
      <c r="H9" s="279"/>
      <c r="I9" s="279" t="s">
        <v>150</v>
      </c>
      <c r="J9" s="279" t="s">
        <v>607</v>
      </c>
    </row>
    <row r="10" spans="1:10" s="276" customFormat="1" ht="61.5" x14ac:dyDescent="0.5">
      <c r="A10" s="279" t="s">
        <v>447</v>
      </c>
      <c r="B10" s="280" t="s">
        <v>419</v>
      </c>
      <c r="C10" s="279" t="s">
        <v>420</v>
      </c>
      <c r="D10" s="281">
        <v>85776</v>
      </c>
      <c r="E10" s="281">
        <f>Tabel_A1_AD[[#This Row],[Valoare estimata 
- lei fără TVA -]]*1.19</f>
        <v>102073.44</v>
      </c>
      <c r="F10" s="283" t="s">
        <v>448</v>
      </c>
      <c r="G10" s="283">
        <v>45327</v>
      </c>
      <c r="H10" s="279"/>
      <c r="I10" s="279" t="s">
        <v>151</v>
      </c>
      <c r="J10" s="279" t="s">
        <v>607</v>
      </c>
    </row>
    <row r="11" spans="1:10" s="275" customFormat="1" ht="124.5" customHeight="1" x14ac:dyDescent="0.5">
      <c r="A11" s="279" t="s">
        <v>449</v>
      </c>
      <c r="B11" s="280" t="s">
        <v>450</v>
      </c>
      <c r="C11" s="279" t="s">
        <v>418</v>
      </c>
      <c r="D11" s="281">
        <v>121818.44</v>
      </c>
      <c r="E11" s="281">
        <f>Tabel_A1_AD[[#This Row],[Valoare estimata 
- lei fără TVA -]]*1.19</f>
        <v>144963.9436</v>
      </c>
      <c r="F11" s="346" t="s">
        <v>448</v>
      </c>
      <c r="G11" s="283">
        <v>45327</v>
      </c>
      <c r="H11" s="279"/>
      <c r="I11" s="279" t="s">
        <v>150</v>
      </c>
      <c r="J11" s="279" t="s">
        <v>607</v>
      </c>
    </row>
    <row r="12" spans="1:10" s="274" customFormat="1" ht="33.75" x14ac:dyDescent="0.5">
      <c r="A12" s="262" t="s">
        <v>451</v>
      </c>
      <c r="B12" s="272" t="s">
        <v>452</v>
      </c>
      <c r="C12" s="262" t="s">
        <v>453</v>
      </c>
      <c r="D12" s="296">
        <v>500</v>
      </c>
      <c r="E12" s="356">
        <f>Tabel_A1_AD[[#This Row],[Valoare estimata 
- lei fără TVA -]]*1.19</f>
        <v>595</v>
      </c>
      <c r="F12" s="273" t="s">
        <v>454</v>
      </c>
      <c r="G12" s="273" t="s">
        <v>455</v>
      </c>
      <c r="H12" s="262"/>
      <c r="I12" s="262" t="s">
        <v>150</v>
      </c>
      <c r="J12" s="262" t="s">
        <v>715</v>
      </c>
    </row>
    <row r="13" spans="1:10" s="276" customFormat="1" ht="61.5" x14ac:dyDescent="0.5">
      <c r="A13" s="279" t="s">
        <v>477</v>
      </c>
      <c r="B13" s="280" t="s">
        <v>478</v>
      </c>
      <c r="C13" s="279" t="s">
        <v>479</v>
      </c>
      <c r="D13" s="281">
        <v>8000</v>
      </c>
      <c r="E13" s="298">
        <f>Tabel_A1_AD[[#This Row],[Valoare estimata 
- lei fără TVA -]]*1.19</f>
        <v>9520</v>
      </c>
      <c r="F13" s="283">
        <v>45306</v>
      </c>
      <c r="G13" s="283">
        <v>45338</v>
      </c>
      <c r="H13" s="279"/>
      <c r="I13" s="279" t="s">
        <v>150</v>
      </c>
      <c r="J13" s="279" t="s">
        <v>607</v>
      </c>
    </row>
    <row r="14" spans="1:10" s="276" customFormat="1" ht="57" customHeight="1" x14ac:dyDescent="0.5">
      <c r="A14" s="279" t="s">
        <v>480</v>
      </c>
      <c r="B14" s="280" t="s">
        <v>481</v>
      </c>
      <c r="C14" s="279" t="s">
        <v>482</v>
      </c>
      <c r="D14" s="281">
        <v>42627.5</v>
      </c>
      <c r="E14" s="281">
        <f>Tabel_A1_AD[[#This Row],[Valoare estimata 
- lei fără TVA -]]*1.19</f>
        <v>50726.724999999999</v>
      </c>
      <c r="F14" s="283">
        <v>45306</v>
      </c>
      <c r="G14" s="283">
        <v>45373</v>
      </c>
      <c r="H14" s="279"/>
      <c r="I14" s="279" t="s">
        <v>150</v>
      </c>
      <c r="J14" s="279" t="s">
        <v>607</v>
      </c>
    </row>
    <row r="15" spans="1:10" s="276" customFormat="1" ht="61.5" x14ac:dyDescent="0.5">
      <c r="A15" s="279" t="s">
        <v>483</v>
      </c>
      <c r="B15" s="280" t="s">
        <v>484</v>
      </c>
      <c r="C15" s="279" t="s">
        <v>485</v>
      </c>
      <c r="D15" s="281">
        <v>2780</v>
      </c>
      <c r="E15" s="281">
        <f>Tabel_A1_AD[[#This Row],[Valoare estimata 
- lei fără TVA -]]*1.19</f>
        <v>3308.2</v>
      </c>
      <c r="F15" s="283">
        <v>45306</v>
      </c>
      <c r="G15" s="283">
        <v>45366</v>
      </c>
      <c r="H15" s="279"/>
      <c r="I15" s="279" t="s">
        <v>151</v>
      </c>
      <c r="J15" s="279" t="s">
        <v>607</v>
      </c>
    </row>
    <row r="16" spans="1:10" s="276" customFormat="1" ht="61.5" x14ac:dyDescent="0.5">
      <c r="A16" s="279" t="s">
        <v>486</v>
      </c>
      <c r="B16" s="280" t="s">
        <v>487</v>
      </c>
      <c r="C16" s="279" t="s">
        <v>488</v>
      </c>
      <c r="D16" s="281">
        <v>2000</v>
      </c>
      <c r="E16" s="298">
        <f>Tabel_A1_AD[[#This Row],[Valoare estimata 
- lei fără TVA -]]*1.19</f>
        <v>2380</v>
      </c>
      <c r="F16" s="283">
        <v>45412</v>
      </c>
      <c r="G16" s="283">
        <v>45443</v>
      </c>
      <c r="H16" s="279"/>
      <c r="I16" s="279" t="s">
        <v>150</v>
      </c>
      <c r="J16" s="279" t="s">
        <v>607</v>
      </c>
    </row>
    <row r="17" spans="1:10" s="276" customFormat="1" ht="61.5" x14ac:dyDescent="0.5">
      <c r="A17" s="279" t="s">
        <v>489</v>
      </c>
      <c r="B17" s="280" t="s">
        <v>490</v>
      </c>
      <c r="C17" s="279" t="s">
        <v>491</v>
      </c>
      <c r="D17" s="281">
        <v>600</v>
      </c>
      <c r="E17" s="281">
        <f>Tabel_A1_AD[[#This Row],[Valoare estimata 
- lei fără TVA -]]*1.19</f>
        <v>714</v>
      </c>
      <c r="F17" s="283">
        <v>45320</v>
      </c>
      <c r="G17" s="283">
        <v>45351</v>
      </c>
      <c r="H17" s="279"/>
      <c r="I17" s="279" t="s">
        <v>150</v>
      </c>
      <c r="J17" s="279" t="s">
        <v>607</v>
      </c>
    </row>
    <row r="18" spans="1:10" s="276" customFormat="1" ht="61.5" x14ac:dyDescent="0.5">
      <c r="A18" s="279" t="s">
        <v>492</v>
      </c>
      <c r="B18" s="280" t="s">
        <v>493</v>
      </c>
      <c r="C18" s="279" t="s">
        <v>494</v>
      </c>
      <c r="D18" s="281">
        <v>14160</v>
      </c>
      <c r="E18" s="281">
        <f>Tabel_A1_AD[[#This Row],[Valoare estimata 
- lei fără TVA -]]*1.19</f>
        <v>16850.399999999998</v>
      </c>
      <c r="F18" s="283">
        <v>45413</v>
      </c>
      <c r="G18" s="283">
        <v>45443</v>
      </c>
      <c r="H18" s="279"/>
      <c r="I18" s="279" t="s">
        <v>150</v>
      </c>
      <c r="J18" s="279" t="s">
        <v>607</v>
      </c>
    </row>
    <row r="19" spans="1:10" s="276" customFormat="1" ht="61.5" x14ac:dyDescent="0.5">
      <c r="A19" s="279" t="s">
        <v>495</v>
      </c>
      <c r="B19" s="280" t="s">
        <v>496</v>
      </c>
      <c r="C19" s="279" t="s">
        <v>497</v>
      </c>
      <c r="D19" s="281">
        <v>5125</v>
      </c>
      <c r="E19" s="281">
        <f>Tabel_A1_AD[[#This Row],[Valoare estimata 
- lei fără TVA -]]*1.19</f>
        <v>6098.75</v>
      </c>
      <c r="F19" s="283">
        <v>45397</v>
      </c>
      <c r="G19" s="283">
        <v>45443</v>
      </c>
      <c r="H19" s="279"/>
      <c r="I19" s="279" t="s">
        <v>150</v>
      </c>
      <c r="J19" s="279" t="s">
        <v>607</v>
      </c>
    </row>
    <row r="20" spans="1:10" s="276" customFormat="1" ht="61.5" x14ac:dyDescent="0.5">
      <c r="A20" s="279" t="s">
        <v>498</v>
      </c>
      <c r="B20" s="280" t="s">
        <v>499</v>
      </c>
      <c r="C20" s="279" t="s">
        <v>500</v>
      </c>
      <c r="D20" s="281">
        <v>3800</v>
      </c>
      <c r="E20" s="281">
        <f>Tabel_A1_AD[[#This Row],[Valoare estimata 
- lei fără TVA -]]*1.19</f>
        <v>4522</v>
      </c>
      <c r="F20" s="283">
        <v>45322</v>
      </c>
      <c r="G20" s="283">
        <v>45351</v>
      </c>
      <c r="H20" s="279"/>
      <c r="I20" s="279" t="s">
        <v>150</v>
      </c>
      <c r="J20" s="279" t="s">
        <v>607</v>
      </c>
    </row>
    <row r="21" spans="1:10" s="276" customFormat="1" ht="192" customHeight="1" x14ac:dyDescent="0.5">
      <c r="A21" s="262" t="s">
        <v>501</v>
      </c>
      <c r="B21" s="272" t="s">
        <v>502</v>
      </c>
      <c r="C21" s="262" t="s">
        <v>503</v>
      </c>
      <c r="D21" s="296">
        <v>35598.75</v>
      </c>
      <c r="E21" s="296">
        <f>Tabel_A1_AD[[#This Row],[Valoare estimata 
- lei fără TVA -]]*1.19</f>
        <v>42362.512499999997</v>
      </c>
      <c r="F21" s="273">
        <v>45323</v>
      </c>
      <c r="G21" s="273">
        <v>45366</v>
      </c>
      <c r="H21" s="262"/>
      <c r="I21" s="262" t="s">
        <v>150</v>
      </c>
      <c r="J21" s="262" t="s">
        <v>715</v>
      </c>
    </row>
    <row r="22" spans="1:10" s="276" customFormat="1" ht="61.5" x14ac:dyDescent="0.5">
      <c r="A22" s="279" t="s">
        <v>504</v>
      </c>
      <c r="B22" s="280" t="s">
        <v>505</v>
      </c>
      <c r="C22" s="279" t="s">
        <v>506</v>
      </c>
      <c r="D22" s="281">
        <v>3029</v>
      </c>
      <c r="E22" s="348">
        <f>Tabel_A1_AD[[#This Row],[Valoare estimata 
- lei fără TVA -]]*1.19</f>
        <v>3604.5099999999998</v>
      </c>
      <c r="F22" s="283">
        <v>45341</v>
      </c>
      <c r="G22" s="283">
        <v>45380</v>
      </c>
      <c r="H22" s="279"/>
      <c r="I22" s="279" t="s">
        <v>150</v>
      </c>
      <c r="J22" s="279" t="s">
        <v>607</v>
      </c>
    </row>
    <row r="23" spans="1:10" s="276" customFormat="1" ht="61.5" x14ac:dyDescent="0.5">
      <c r="A23" s="279" t="s">
        <v>507</v>
      </c>
      <c r="B23" s="280" t="s">
        <v>508</v>
      </c>
      <c r="C23" s="279" t="s">
        <v>509</v>
      </c>
      <c r="D23" s="315">
        <v>19960</v>
      </c>
      <c r="E23" s="281">
        <f>Tabel_A1_AD[[#This Row],[Valoare estimata 
- lei fără TVA -]]*1.19</f>
        <v>23752.399999999998</v>
      </c>
      <c r="F23" s="283">
        <v>45327</v>
      </c>
      <c r="G23" s="283">
        <v>45366</v>
      </c>
      <c r="H23" s="279"/>
      <c r="I23" s="279" t="s">
        <v>150</v>
      </c>
      <c r="J23" s="279" t="s">
        <v>607</v>
      </c>
    </row>
    <row r="24" spans="1:10" s="276" customFormat="1" ht="39" customHeight="1" x14ac:dyDescent="0.5">
      <c r="A24" s="279" t="s">
        <v>510</v>
      </c>
      <c r="B24" s="280" t="s">
        <v>511</v>
      </c>
      <c r="C24" s="279" t="s">
        <v>512</v>
      </c>
      <c r="D24" s="281">
        <v>1175</v>
      </c>
      <c r="E24" s="281">
        <f>Tabel_A1_AD[[#This Row],[Valoare estimata 
- lei fără TVA -]]*1.19</f>
        <v>1398.25</v>
      </c>
      <c r="F24" s="283">
        <v>45352</v>
      </c>
      <c r="G24" s="283">
        <v>45380</v>
      </c>
      <c r="H24" s="279"/>
      <c r="I24" s="279" t="s">
        <v>150</v>
      </c>
      <c r="J24" s="279" t="s">
        <v>607</v>
      </c>
    </row>
    <row r="25" spans="1:10" s="276" customFormat="1" ht="61.5" x14ac:dyDescent="0.5">
      <c r="A25" s="279" t="s">
        <v>513</v>
      </c>
      <c r="B25" s="280" t="s">
        <v>514</v>
      </c>
      <c r="C25" s="279" t="s">
        <v>515</v>
      </c>
      <c r="D25" s="281">
        <v>86800</v>
      </c>
      <c r="E25" s="281">
        <f>Tabel_A1_AD[[#This Row],[Valoare estimata 
- lei fără TVA -]]*1.19</f>
        <v>103292</v>
      </c>
      <c r="F25" s="283">
        <v>45337</v>
      </c>
      <c r="G25" s="283">
        <v>45380</v>
      </c>
      <c r="H25" s="279"/>
      <c r="I25" s="279" t="s">
        <v>150</v>
      </c>
      <c r="J25" s="279" t="s">
        <v>607</v>
      </c>
    </row>
    <row r="26" spans="1:10" s="276" customFormat="1" ht="61.5" x14ac:dyDescent="0.5">
      <c r="A26" s="279" t="s">
        <v>516</v>
      </c>
      <c r="B26" s="280" t="s">
        <v>517</v>
      </c>
      <c r="C26" s="279" t="s">
        <v>518</v>
      </c>
      <c r="D26" s="281">
        <v>242592</v>
      </c>
      <c r="E26" s="281">
        <f>Tabel_A1_AD[[#This Row],[Valoare estimata 
- lei fără TVA -]]*1.19</f>
        <v>288684.48</v>
      </c>
      <c r="F26" s="283">
        <v>45413</v>
      </c>
      <c r="G26" s="283">
        <v>45464</v>
      </c>
      <c r="H26" s="279"/>
      <c r="I26" s="279" t="s">
        <v>150</v>
      </c>
      <c r="J26" s="279" t="s">
        <v>607</v>
      </c>
    </row>
    <row r="27" spans="1:10" s="276" customFormat="1" ht="61.5" x14ac:dyDescent="0.5">
      <c r="A27" s="279" t="s">
        <v>519</v>
      </c>
      <c r="B27" s="280" t="s">
        <v>520</v>
      </c>
      <c r="C27" s="279" t="s">
        <v>521</v>
      </c>
      <c r="D27" s="281">
        <v>2300</v>
      </c>
      <c r="E27" s="298">
        <f>Tabel_A1_AD[[#This Row],[Valoare estimata 
- lei fără TVA -]]*1.19</f>
        <v>2737</v>
      </c>
      <c r="F27" s="283">
        <v>45316</v>
      </c>
      <c r="G27" s="283">
        <v>45351</v>
      </c>
      <c r="H27" s="279"/>
      <c r="I27" s="279" t="s">
        <v>150</v>
      </c>
      <c r="J27" s="279" t="s">
        <v>607</v>
      </c>
    </row>
    <row r="28" spans="1:10" s="276" customFormat="1" ht="61.5" x14ac:dyDescent="0.5">
      <c r="A28" s="279" t="s">
        <v>522</v>
      </c>
      <c r="B28" s="280" t="s">
        <v>523</v>
      </c>
      <c r="C28" s="279" t="s">
        <v>524</v>
      </c>
      <c r="D28" s="281">
        <v>11240</v>
      </c>
      <c r="E28" s="298">
        <f>Tabel_A1_AD[[#This Row],[Valoare estimata 
- lei fără TVA -]]*1.19</f>
        <v>13375.599999999999</v>
      </c>
      <c r="F28" s="283">
        <v>45373</v>
      </c>
      <c r="G28" s="283">
        <v>45408</v>
      </c>
      <c r="H28" s="279"/>
      <c r="I28" s="279" t="s">
        <v>150</v>
      </c>
      <c r="J28" s="279" t="s">
        <v>607</v>
      </c>
    </row>
    <row r="29" spans="1:10" s="276" customFormat="1" ht="31.5" customHeight="1" x14ac:dyDescent="0.5">
      <c r="A29" s="279" t="s">
        <v>525</v>
      </c>
      <c r="B29" s="280" t="s">
        <v>526</v>
      </c>
      <c r="C29" s="279" t="s">
        <v>527</v>
      </c>
      <c r="D29" s="281">
        <v>6305</v>
      </c>
      <c r="E29" s="298">
        <f>Tabel_A1_AD[[#This Row],[Valoare estimata 
- lei fără TVA -]]*1.19</f>
        <v>7502.95</v>
      </c>
      <c r="F29" s="283">
        <v>45337</v>
      </c>
      <c r="G29" s="283">
        <v>45380</v>
      </c>
      <c r="H29" s="279"/>
      <c r="I29" s="279" t="s">
        <v>150</v>
      </c>
      <c r="J29" s="279" t="s">
        <v>607</v>
      </c>
    </row>
    <row r="30" spans="1:10" s="276" customFormat="1" ht="31.5" customHeight="1" x14ac:dyDescent="0.5">
      <c r="A30" s="279" t="s">
        <v>528</v>
      </c>
      <c r="B30" s="280" t="s">
        <v>529</v>
      </c>
      <c r="C30" s="279" t="s">
        <v>515</v>
      </c>
      <c r="D30" s="281">
        <v>8331.23</v>
      </c>
      <c r="E30" s="299">
        <f>Tabel_A1_AD[[#This Row],[Valoare estimata 
- lei fără TVA -]]*1.19</f>
        <v>9914.1636999999992</v>
      </c>
      <c r="F30" s="283">
        <v>45337</v>
      </c>
      <c r="G30" s="283">
        <v>45380</v>
      </c>
      <c r="H30" s="279"/>
      <c r="I30" s="279" t="s">
        <v>150</v>
      </c>
      <c r="J30" s="279" t="s">
        <v>607</v>
      </c>
    </row>
    <row r="31" spans="1:10" s="276" customFormat="1" ht="61.5" x14ac:dyDescent="0.5">
      <c r="A31" s="279" t="s">
        <v>530</v>
      </c>
      <c r="B31" s="280" t="s">
        <v>531</v>
      </c>
      <c r="C31" s="279" t="s">
        <v>257</v>
      </c>
      <c r="D31" s="281">
        <v>9000</v>
      </c>
      <c r="E31" s="299">
        <f>Tabel_A1_AD[[#This Row],[Valoare estimata 
- lei fără TVA -]]*1.19</f>
        <v>10710</v>
      </c>
      <c r="F31" s="283">
        <v>45301</v>
      </c>
      <c r="G31" s="283">
        <v>45322</v>
      </c>
      <c r="H31" s="279"/>
      <c r="I31" s="279" t="s">
        <v>150</v>
      </c>
      <c r="J31" s="279" t="s">
        <v>607</v>
      </c>
    </row>
    <row r="32" spans="1:10" s="276" customFormat="1" ht="61.5" x14ac:dyDescent="0.5">
      <c r="A32" s="279" t="s">
        <v>532</v>
      </c>
      <c r="B32" s="280" t="s">
        <v>533</v>
      </c>
      <c r="C32" s="279" t="s">
        <v>534</v>
      </c>
      <c r="D32" s="281">
        <v>63636</v>
      </c>
      <c r="E32" s="299">
        <f>Tabel_A1_AD[[#This Row],[Valoare estimata 
- lei fără TVA -]]*1.19</f>
        <v>75726.84</v>
      </c>
      <c r="F32" s="283">
        <v>45413</v>
      </c>
      <c r="G32" s="283">
        <v>45443</v>
      </c>
      <c r="H32" s="279"/>
      <c r="I32" s="279" t="s">
        <v>150</v>
      </c>
      <c r="J32" s="279" t="s">
        <v>607</v>
      </c>
    </row>
    <row r="33" spans="1:10" s="276" customFormat="1" ht="61.5" x14ac:dyDescent="0.5">
      <c r="A33" s="350" t="s">
        <v>560</v>
      </c>
      <c r="B33" s="351" t="s">
        <v>561</v>
      </c>
      <c r="C33" s="350" t="s">
        <v>562</v>
      </c>
      <c r="D33" s="281">
        <v>198226.57</v>
      </c>
      <c r="E33" s="299">
        <f>Tabel_A1_AD[[#This Row],[Valoare estimata 
- lei fără TVA -]]*1.19</f>
        <v>235889.6183</v>
      </c>
      <c r="F33" s="283" t="s">
        <v>563</v>
      </c>
      <c r="G33" s="283" t="s">
        <v>445</v>
      </c>
      <c r="H33" s="279"/>
      <c r="I33" s="279" t="s">
        <v>150</v>
      </c>
      <c r="J33" s="279" t="s">
        <v>607</v>
      </c>
    </row>
    <row r="34" spans="1:10" s="276" customFormat="1" ht="92.25" x14ac:dyDescent="0.5">
      <c r="A34" s="279" t="s">
        <v>589</v>
      </c>
      <c r="B34" s="333" t="s">
        <v>601</v>
      </c>
      <c r="C34" s="334" t="s">
        <v>503</v>
      </c>
      <c r="D34" s="315">
        <v>48132</v>
      </c>
      <c r="E34" s="315">
        <f>Tabel_A1_AD[[#This Row],[Valoare estimata 
- lei fără TVA -]]*1.19</f>
        <v>57277.079999999994</v>
      </c>
      <c r="F34" s="335" t="s">
        <v>595</v>
      </c>
      <c r="G34" s="335" t="s">
        <v>590</v>
      </c>
      <c r="H34" s="334"/>
      <c r="I34" s="334" t="s">
        <v>150</v>
      </c>
      <c r="J34" s="334" t="s">
        <v>607</v>
      </c>
    </row>
    <row r="35" spans="1:10" s="276" customFormat="1" ht="61.5" x14ac:dyDescent="0.5">
      <c r="A35" s="279" t="s">
        <v>591</v>
      </c>
      <c r="B35" s="333" t="s">
        <v>592</v>
      </c>
      <c r="C35" s="334" t="s">
        <v>593</v>
      </c>
      <c r="D35" s="315">
        <v>2000</v>
      </c>
      <c r="E35" s="315">
        <v>2000</v>
      </c>
      <c r="F35" s="335" t="s">
        <v>594</v>
      </c>
      <c r="G35" s="335" t="s">
        <v>596</v>
      </c>
      <c r="H35" s="334"/>
      <c r="I35" s="334" t="s">
        <v>151</v>
      </c>
      <c r="J35" s="334" t="s">
        <v>607</v>
      </c>
    </row>
    <row r="36" spans="1:10" ht="30.75" x14ac:dyDescent="0.25">
      <c r="A36" s="279" t="s">
        <v>597</v>
      </c>
      <c r="B36" s="333" t="s">
        <v>598</v>
      </c>
      <c r="C36" s="334" t="s">
        <v>453</v>
      </c>
      <c r="D36" s="315">
        <v>66140</v>
      </c>
      <c r="E36" s="315">
        <f>Tabel_A1_AD[[#This Row],[Valoare estimata 
- lei fără TVA -]]*1.19</f>
        <v>78706.599999999991</v>
      </c>
      <c r="F36" s="335" t="s">
        <v>599</v>
      </c>
      <c r="G36" s="335" t="s">
        <v>600</v>
      </c>
      <c r="H36" s="334"/>
      <c r="I36" s="334" t="s">
        <v>150</v>
      </c>
      <c r="J36" s="334" t="s">
        <v>707</v>
      </c>
    </row>
    <row r="37" spans="1:10" ht="61.5" x14ac:dyDescent="0.25">
      <c r="A37" s="279" t="s">
        <v>602</v>
      </c>
      <c r="B37" s="333" t="s">
        <v>603</v>
      </c>
      <c r="C37" s="334" t="s">
        <v>604</v>
      </c>
      <c r="D37" s="315">
        <v>215820</v>
      </c>
      <c r="E37" s="315">
        <f>Tabel_A1_AD[[#This Row],[Valoare estimata 
- lei fără TVA -]]*1.19</f>
        <v>256825.8</v>
      </c>
      <c r="F37" s="335" t="s">
        <v>605</v>
      </c>
      <c r="G37" s="335" t="s">
        <v>606</v>
      </c>
      <c r="H37" s="334"/>
      <c r="I37" s="334" t="s">
        <v>150</v>
      </c>
      <c r="J37" s="334" t="s">
        <v>607</v>
      </c>
    </row>
    <row r="38" spans="1:10" ht="61.5" x14ac:dyDescent="0.25">
      <c r="A38" s="279" t="s">
        <v>608</v>
      </c>
      <c r="B38" s="333" t="s">
        <v>609</v>
      </c>
      <c r="C38" s="334" t="s">
        <v>610</v>
      </c>
      <c r="D38" s="315">
        <v>606.32000000000005</v>
      </c>
      <c r="E38" s="315">
        <f>Tabel_A1_AD[[#This Row],[Valoare estimata 
- lei fără TVA -]]*1.19</f>
        <v>721.52080000000001</v>
      </c>
      <c r="F38" s="335" t="s">
        <v>611</v>
      </c>
      <c r="G38" s="335" t="s">
        <v>612</v>
      </c>
      <c r="H38" s="334"/>
      <c r="I38" s="334" t="s">
        <v>150</v>
      </c>
      <c r="J38" s="334" t="s">
        <v>607</v>
      </c>
    </row>
    <row r="39" spans="1:10" ht="61.5" x14ac:dyDescent="0.25">
      <c r="A39" s="334" t="s">
        <v>613</v>
      </c>
      <c r="B39" s="333" t="s">
        <v>618</v>
      </c>
      <c r="C39" s="334" t="s">
        <v>619</v>
      </c>
      <c r="D39" s="315">
        <v>303</v>
      </c>
      <c r="E39" s="315">
        <f>Tabel_A1_AD[[#This Row],[Valoare estimata 
- lei fără TVA -]]*1.19</f>
        <v>360.57</v>
      </c>
      <c r="F39" s="335" t="s">
        <v>454</v>
      </c>
      <c r="G39" s="335" t="s">
        <v>620</v>
      </c>
      <c r="H39" s="334"/>
      <c r="I39" s="334" t="s">
        <v>150</v>
      </c>
      <c r="J39" s="334" t="s">
        <v>607</v>
      </c>
    </row>
    <row r="40" spans="1:10" ht="61.5" x14ac:dyDescent="0.25">
      <c r="A40" s="279" t="s">
        <v>617</v>
      </c>
      <c r="B40" s="333" t="s">
        <v>614</v>
      </c>
      <c r="C40" s="334" t="s">
        <v>615</v>
      </c>
      <c r="D40" s="315">
        <v>3617.65</v>
      </c>
      <c r="E40" s="315">
        <f>Tabel_A1_AD[[#This Row],[Valoare estimata 
- lei fără TVA -]]*1.19</f>
        <v>4305.0034999999998</v>
      </c>
      <c r="F40" s="335" t="s">
        <v>616</v>
      </c>
      <c r="G40" s="335" t="s">
        <v>612</v>
      </c>
      <c r="H40" s="334"/>
      <c r="I40" s="334" t="s">
        <v>151</v>
      </c>
      <c r="J40" s="334" t="s">
        <v>607</v>
      </c>
    </row>
    <row r="41" spans="1:10" ht="61.5" x14ac:dyDescent="0.25">
      <c r="A41" s="279" t="s">
        <v>621</v>
      </c>
      <c r="B41" s="333" t="s">
        <v>623</v>
      </c>
      <c r="C41" s="334" t="s">
        <v>619</v>
      </c>
      <c r="D41" s="315">
        <v>92.98</v>
      </c>
      <c r="E41" s="315">
        <f>Tabel_A1_AD[[#This Row],[Valoare estimata 
- lei fără TVA -]]*1.19</f>
        <v>110.64619999999999</v>
      </c>
      <c r="F41" s="335" t="s">
        <v>624</v>
      </c>
      <c r="G41" s="335" t="s">
        <v>625</v>
      </c>
      <c r="H41" s="334"/>
      <c r="I41" s="334" t="s">
        <v>151</v>
      </c>
      <c r="J41" s="334" t="s">
        <v>607</v>
      </c>
    </row>
    <row r="42" spans="1:10" ht="61.5" x14ac:dyDescent="0.25">
      <c r="A42" s="334" t="s">
        <v>622</v>
      </c>
      <c r="B42" s="333" t="s">
        <v>626</v>
      </c>
      <c r="C42" s="334" t="s">
        <v>635</v>
      </c>
      <c r="D42" s="315">
        <v>31389.48</v>
      </c>
      <c r="E42" s="315">
        <f>Tabel_A1_AD[[#This Row],[Valoare estimata 
- lei fără TVA -]]*1.19</f>
        <v>37353.481199999995</v>
      </c>
      <c r="F42" s="335" t="s">
        <v>624</v>
      </c>
      <c r="G42" s="335" t="s">
        <v>443</v>
      </c>
      <c r="H42" s="334"/>
      <c r="I42" s="334" t="s">
        <v>150</v>
      </c>
      <c r="J42" s="334" t="s">
        <v>607</v>
      </c>
    </row>
    <row r="43" spans="1:10" ht="61.5" x14ac:dyDescent="0.25">
      <c r="A43" s="279" t="s">
        <v>627</v>
      </c>
      <c r="B43" s="333" t="s">
        <v>630</v>
      </c>
      <c r="C43" s="334" t="s">
        <v>593</v>
      </c>
      <c r="D43" s="315">
        <v>14000</v>
      </c>
      <c r="E43" s="315">
        <v>14000</v>
      </c>
      <c r="F43" s="335" t="s">
        <v>631</v>
      </c>
      <c r="G43" s="335" t="s">
        <v>455</v>
      </c>
      <c r="H43" s="334"/>
      <c r="I43" s="334" t="s">
        <v>151</v>
      </c>
      <c r="J43" s="334" t="s">
        <v>607</v>
      </c>
    </row>
    <row r="44" spans="1:10" ht="228" customHeight="1" x14ac:dyDescent="0.25">
      <c r="A44" s="279" t="s">
        <v>628</v>
      </c>
      <c r="B44" s="333" t="s">
        <v>632</v>
      </c>
      <c r="C44" s="334" t="s">
        <v>636</v>
      </c>
      <c r="D44" s="315">
        <v>101359.16</v>
      </c>
      <c r="E44" s="315">
        <f>Tabel_A1_AD[[#This Row],[Valoare estimata 
- lei fără TVA -]]*1.19</f>
        <v>120617.4004</v>
      </c>
      <c r="F44" s="335" t="s">
        <v>633</v>
      </c>
      <c r="G44" s="335" t="s">
        <v>634</v>
      </c>
      <c r="H44" s="334"/>
      <c r="I44" s="334" t="s">
        <v>150</v>
      </c>
      <c r="J44" s="334" t="s">
        <v>607</v>
      </c>
    </row>
    <row r="45" spans="1:10" ht="61.5" x14ac:dyDescent="0.25">
      <c r="A45" s="334" t="s">
        <v>629</v>
      </c>
      <c r="B45" s="333" t="s">
        <v>665</v>
      </c>
      <c r="C45" s="334" t="s">
        <v>534</v>
      </c>
      <c r="D45" s="315">
        <v>990</v>
      </c>
      <c r="E45" s="315">
        <f>Tabel_A1_AD[[#This Row],[Valoare estimata 
- lei fără TVA -]]*1.19</f>
        <v>1178.0999999999999</v>
      </c>
      <c r="F45" s="335" t="s">
        <v>667</v>
      </c>
      <c r="G45" s="335" t="s">
        <v>666</v>
      </c>
      <c r="H45" s="334"/>
      <c r="I45" s="334" t="s">
        <v>151</v>
      </c>
      <c r="J45" s="334" t="s">
        <v>607</v>
      </c>
    </row>
    <row r="46" spans="1:10" ht="61.5" x14ac:dyDescent="0.25">
      <c r="A46" s="279" t="s">
        <v>638</v>
      </c>
      <c r="B46" s="333" t="s">
        <v>639</v>
      </c>
      <c r="C46" s="334" t="s">
        <v>640</v>
      </c>
      <c r="D46" s="315">
        <v>5420</v>
      </c>
      <c r="E46" s="315">
        <f>Tabel_A1_AD[[#This Row],[Valoare estimata 
- lei fără TVA -]]*1.19</f>
        <v>6449.7999999999993</v>
      </c>
      <c r="F46" s="335" t="s">
        <v>641</v>
      </c>
      <c r="G46" s="335" t="s">
        <v>455</v>
      </c>
      <c r="H46" s="334"/>
      <c r="I46" s="334" t="s">
        <v>151</v>
      </c>
      <c r="J46" s="334" t="s">
        <v>607</v>
      </c>
    </row>
    <row r="47" spans="1:10" ht="61.5" x14ac:dyDescent="0.25">
      <c r="A47" s="279" t="s">
        <v>642</v>
      </c>
      <c r="B47" s="333" t="s">
        <v>645</v>
      </c>
      <c r="C47" s="334" t="s">
        <v>643</v>
      </c>
      <c r="D47" s="315">
        <v>2000</v>
      </c>
      <c r="E47" s="315">
        <f>Tabel_A1_AD[[#This Row],[Valoare estimata 
- lei fără TVA -]]*1.19</f>
        <v>2380</v>
      </c>
      <c r="F47" s="335" t="s">
        <v>644</v>
      </c>
      <c r="G47" s="335" t="s">
        <v>634</v>
      </c>
      <c r="H47" s="334"/>
      <c r="I47" s="334" t="s">
        <v>151</v>
      </c>
      <c r="J47" s="334" t="s">
        <v>607</v>
      </c>
    </row>
    <row r="48" spans="1:10" ht="69" customHeight="1" x14ac:dyDescent="0.25">
      <c r="A48" s="334" t="s">
        <v>646</v>
      </c>
      <c r="B48" s="333" t="s">
        <v>647</v>
      </c>
      <c r="C48" s="334" t="s">
        <v>503</v>
      </c>
      <c r="D48" s="315">
        <v>24132</v>
      </c>
      <c r="E48" s="315">
        <f>Tabel_A1_AD[[#This Row],[Valoare estimata 
- lei fără TVA -]]*1.19</f>
        <v>28717.079999999998</v>
      </c>
      <c r="F48" s="335" t="s">
        <v>455</v>
      </c>
      <c r="G48" s="335" t="s">
        <v>648</v>
      </c>
      <c r="H48" s="334"/>
      <c r="I48" s="334" t="s">
        <v>150</v>
      </c>
      <c r="J48" s="334" t="s">
        <v>707</v>
      </c>
    </row>
    <row r="49" spans="1:10" ht="61.5" x14ac:dyDescent="0.25">
      <c r="A49" s="279" t="s">
        <v>649</v>
      </c>
      <c r="B49" s="333" t="s">
        <v>650</v>
      </c>
      <c r="C49" s="334" t="s">
        <v>269</v>
      </c>
      <c r="D49" s="315">
        <v>15000</v>
      </c>
      <c r="E49" s="315">
        <f>Tabel_A1_AD[[#This Row],[Valoare estimata 
- lei fără TVA -]]*1.19</f>
        <v>17850</v>
      </c>
      <c r="F49" s="335" t="s">
        <v>651</v>
      </c>
      <c r="G49" s="335" t="s">
        <v>600</v>
      </c>
      <c r="H49" s="334"/>
      <c r="I49" s="334" t="s">
        <v>151</v>
      </c>
      <c r="J49" s="334" t="s">
        <v>607</v>
      </c>
    </row>
    <row r="50" spans="1:10" ht="61.5" x14ac:dyDescent="0.25">
      <c r="A50" s="342" t="s">
        <v>652</v>
      </c>
      <c r="B50" s="343" t="s">
        <v>653</v>
      </c>
      <c r="C50" s="342" t="s">
        <v>654</v>
      </c>
      <c r="D50" s="344">
        <v>5612.9</v>
      </c>
      <c r="E50" s="344">
        <f>Tabel_A1_AD[[#This Row],[Valoare estimata 
- lei fără TVA -]]*1.19</f>
        <v>6679.3509999999997</v>
      </c>
      <c r="F50" s="345" t="s">
        <v>655</v>
      </c>
      <c r="G50" s="345" t="s">
        <v>656</v>
      </c>
      <c r="H50" s="342"/>
      <c r="I50" s="334" t="s">
        <v>150</v>
      </c>
      <c r="J50" s="334" t="s">
        <v>607</v>
      </c>
    </row>
    <row r="51" spans="1:10" ht="30.75" x14ac:dyDescent="0.25">
      <c r="A51" s="334" t="s">
        <v>657</v>
      </c>
      <c r="B51" s="343" t="s">
        <v>658</v>
      </c>
      <c r="C51" s="342" t="s">
        <v>659</v>
      </c>
      <c r="D51" s="344">
        <v>11240</v>
      </c>
      <c r="E51" s="344">
        <f>Tabel_A1_AD[[#This Row],[Valoare estimata 
- lei fără TVA -]]*1.19</f>
        <v>13375.599999999999</v>
      </c>
      <c r="F51" s="345" t="s">
        <v>660</v>
      </c>
      <c r="G51" s="345" t="s">
        <v>661</v>
      </c>
      <c r="H51" s="342"/>
      <c r="I51" s="342" t="s">
        <v>150</v>
      </c>
      <c r="J51" s="342" t="s">
        <v>715</v>
      </c>
    </row>
    <row r="52" spans="1:10" ht="61.5" x14ac:dyDescent="0.25">
      <c r="A52" s="279" t="s">
        <v>662</v>
      </c>
      <c r="B52" s="343" t="s">
        <v>663</v>
      </c>
      <c r="C52" s="342" t="s">
        <v>593</v>
      </c>
      <c r="D52" s="344">
        <v>14906.81</v>
      </c>
      <c r="E52" s="344">
        <f>Tabel_A1_AD[[#This Row],[Valoare estimata 
- lei fără TVA -]]*1.19</f>
        <v>17739.103899999998</v>
      </c>
      <c r="F52" s="345" t="s">
        <v>664</v>
      </c>
      <c r="G52" s="345" t="s">
        <v>648</v>
      </c>
      <c r="H52" s="342"/>
      <c r="I52" s="342" t="s">
        <v>150</v>
      </c>
      <c r="J52" s="342" t="s">
        <v>607</v>
      </c>
    </row>
    <row r="53" spans="1:10" ht="34.5" customHeight="1" x14ac:dyDescent="0.25">
      <c r="A53" s="342" t="s">
        <v>669</v>
      </c>
      <c r="B53" s="343" t="s">
        <v>668</v>
      </c>
      <c r="C53" s="342" t="s">
        <v>474</v>
      </c>
      <c r="D53" s="344">
        <v>169920</v>
      </c>
      <c r="E53" s="344">
        <f>Tabel_A1_AD[[#This Row],[Valoare estimata 
- lei fără TVA -]]*1.19</f>
        <v>202204.79999999999</v>
      </c>
      <c r="F53" s="345" t="s">
        <v>670</v>
      </c>
      <c r="G53" s="345" t="s">
        <v>671</v>
      </c>
      <c r="H53" s="342"/>
      <c r="I53" s="342" t="s">
        <v>150</v>
      </c>
      <c r="J53" s="342" t="s">
        <v>607</v>
      </c>
    </row>
    <row r="54" spans="1:10" ht="30.75" x14ac:dyDescent="0.25">
      <c r="A54" s="334" t="s">
        <v>672</v>
      </c>
      <c r="B54" s="333" t="s">
        <v>675</v>
      </c>
      <c r="C54" s="334" t="s">
        <v>503</v>
      </c>
      <c r="D54" s="315">
        <v>11690</v>
      </c>
      <c r="E54" s="315">
        <f>Tabel_A1_AD[[#This Row],[Valoare estimata 
- lei fără TVA -]]*1.19</f>
        <v>13911.099999999999</v>
      </c>
      <c r="F54" s="335" t="s">
        <v>676</v>
      </c>
      <c r="G54" s="335" t="s">
        <v>677</v>
      </c>
      <c r="H54" s="334"/>
      <c r="I54" s="334" t="s">
        <v>150</v>
      </c>
      <c r="J54" s="334" t="s">
        <v>707</v>
      </c>
    </row>
    <row r="55" spans="1:10" ht="61.5" x14ac:dyDescent="0.25">
      <c r="A55" s="279" t="s">
        <v>673</v>
      </c>
      <c r="B55" s="333" t="s">
        <v>678</v>
      </c>
      <c r="C55" s="334" t="s">
        <v>679</v>
      </c>
      <c r="D55" s="315">
        <v>4500</v>
      </c>
      <c r="E55" s="315">
        <f>Tabel_A1_AD[[#This Row],[Valoare estimata 
- lei fără TVA -]]*1.19</f>
        <v>5355</v>
      </c>
      <c r="F55" s="335" t="s">
        <v>670</v>
      </c>
      <c r="G55" s="335" t="s">
        <v>661</v>
      </c>
      <c r="H55" s="334"/>
      <c r="I55" s="334" t="s">
        <v>150</v>
      </c>
      <c r="J55" s="334" t="s">
        <v>607</v>
      </c>
    </row>
    <row r="56" spans="1:10" ht="61.5" x14ac:dyDescent="0.25">
      <c r="A56" s="334" t="s">
        <v>674</v>
      </c>
      <c r="B56" s="333" t="s">
        <v>680</v>
      </c>
      <c r="C56" s="334" t="s">
        <v>681</v>
      </c>
      <c r="D56" s="347">
        <v>269576</v>
      </c>
      <c r="E56" s="315">
        <f>Tabel_A1_AD[[#This Row],[Valoare estimata 
- lei fără TVA -]]*1.19</f>
        <v>320795.44</v>
      </c>
      <c r="F56" s="335" t="s">
        <v>682</v>
      </c>
      <c r="G56" s="335" t="s">
        <v>683</v>
      </c>
      <c r="H56" s="334"/>
      <c r="I56" s="334" t="s">
        <v>150</v>
      </c>
      <c r="J56" s="334" t="s">
        <v>607</v>
      </c>
    </row>
    <row r="57" spans="1:10" ht="61.5" x14ac:dyDescent="0.25">
      <c r="A57" s="342" t="s">
        <v>684</v>
      </c>
      <c r="B57" s="333" t="s">
        <v>687</v>
      </c>
      <c r="C57" s="334" t="s">
        <v>688</v>
      </c>
      <c r="D57" s="315">
        <v>16000</v>
      </c>
      <c r="E57" s="315">
        <f>Tabel_A1_AD[[#This Row],[Valoare estimata 
- lei fără TVA -]]*1.19</f>
        <v>19040</v>
      </c>
      <c r="F57" s="335" t="s">
        <v>689</v>
      </c>
      <c r="G57" s="335" t="s">
        <v>690</v>
      </c>
      <c r="H57" s="334"/>
      <c r="I57" s="334" t="s">
        <v>150</v>
      </c>
      <c r="J57" s="334" t="s">
        <v>607</v>
      </c>
    </row>
    <row r="58" spans="1:10" ht="61.5" x14ac:dyDescent="0.25">
      <c r="A58" s="334" t="s">
        <v>685</v>
      </c>
      <c r="B58" s="333" t="s">
        <v>691</v>
      </c>
      <c r="C58" s="334" t="s">
        <v>692</v>
      </c>
      <c r="D58" s="315">
        <v>2012</v>
      </c>
      <c r="E58" s="315">
        <f>Tabel_A1_AD[[#This Row],[Valoare estimata 
- lei fără TVA -]]*1.19</f>
        <v>2394.2799999999997</v>
      </c>
      <c r="F58" s="335" t="s">
        <v>689</v>
      </c>
      <c r="G58" s="335" t="s">
        <v>693</v>
      </c>
      <c r="H58" s="334"/>
      <c r="I58" s="334" t="s">
        <v>150</v>
      </c>
      <c r="J58" s="334" t="s">
        <v>607</v>
      </c>
    </row>
    <row r="59" spans="1:10" ht="61.5" x14ac:dyDescent="0.25">
      <c r="A59" s="279" t="s">
        <v>686</v>
      </c>
      <c r="B59" s="333" t="s">
        <v>694</v>
      </c>
      <c r="C59" s="334" t="s">
        <v>695</v>
      </c>
      <c r="D59" s="315">
        <v>34033.61</v>
      </c>
      <c r="E59" s="315">
        <f>Tabel_A1_AD[[#This Row],[Valoare estimata 
- lei fără TVA -]]*1.19</f>
        <v>40499.995900000002</v>
      </c>
      <c r="F59" s="335" t="s">
        <v>569</v>
      </c>
      <c r="G59" s="335" t="s">
        <v>661</v>
      </c>
      <c r="H59" s="334"/>
      <c r="I59" s="334" t="s">
        <v>151</v>
      </c>
      <c r="J59" s="334" t="s">
        <v>607</v>
      </c>
    </row>
    <row r="60" spans="1:10" ht="61.5" x14ac:dyDescent="0.25">
      <c r="A60" s="342" t="s">
        <v>696</v>
      </c>
      <c r="B60" s="333" t="s">
        <v>697</v>
      </c>
      <c r="C60" s="334" t="s">
        <v>161</v>
      </c>
      <c r="D60" s="315">
        <v>1794.17</v>
      </c>
      <c r="E60" s="315">
        <f>Tabel_A1_AD[[#This Row],[Valoare estimata 
- lei fără TVA -]]*1.19</f>
        <v>2135.0623000000001</v>
      </c>
      <c r="F60" s="335" t="s">
        <v>689</v>
      </c>
      <c r="G60" s="335" t="s">
        <v>698</v>
      </c>
      <c r="H60" s="334"/>
      <c r="I60" s="334" t="s">
        <v>151</v>
      </c>
      <c r="J60" s="334" t="s">
        <v>607</v>
      </c>
    </row>
    <row r="61" spans="1:10" ht="61.5" x14ac:dyDescent="0.25">
      <c r="A61" s="334" t="s">
        <v>699</v>
      </c>
      <c r="B61" s="333" t="s">
        <v>700</v>
      </c>
      <c r="C61" s="334" t="s">
        <v>619</v>
      </c>
      <c r="D61" s="315">
        <v>84.03</v>
      </c>
      <c r="E61" s="315">
        <f>Tabel_A1_AD[[#This Row],[Valoare estimata 
- lei fără TVA -]]*1.19</f>
        <v>99.995699999999999</v>
      </c>
      <c r="F61" s="335" t="s">
        <v>698</v>
      </c>
      <c r="G61" s="335" t="s">
        <v>661</v>
      </c>
      <c r="H61" s="334"/>
      <c r="I61" s="334" t="s">
        <v>151</v>
      </c>
      <c r="J61" s="334" t="s">
        <v>607</v>
      </c>
    </row>
    <row r="62" spans="1:10" ht="61.5" x14ac:dyDescent="0.25">
      <c r="A62" s="334" t="s">
        <v>701</v>
      </c>
      <c r="B62" s="333" t="s">
        <v>702</v>
      </c>
      <c r="C62" s="334" t="s">
        <v>703</v>
      </c>
      <c r="D62" s="315">
        <v>1747.2</v>
      </c>
      <c r="E62" s="315">
        <f>Tabel_A1_AD[[#This Row],[Valoare estimata 
- lei fără TVA -]]*1.19</f>
        <v>2079.1680000000001</v>
      </c>
      <c r="F62" s="335" t="s">
        <v>698</v>
      </c>
      <c r="G62" s="335" t="s">
        <v>661</v>
      </c>
      <c r="H62" s="334"/>
      <c r="I62" s="334" t="s">
        <v>150</v>
      </c>
      <c r="J62" s="334" t="s">
        <v>607</v>
      </c>
    </row>
    <row r="63" spans="1:10" ht="61.5" x14ac:dyDescent="0.25">
      <c r="A63" s="279" t="s">
        <v>704</v>
      </c>
      <c r="B63" s="333" t="s">
        <v>705</v>
      </c>
      <c r="C63" s="334" t="s">
        <v>593</v>
      </c>
      <c r="D63" s="315">
        <v>3550</v>
      </c>
      <c r="E63" s="315">
        <f>Tabel_A1_AD[[#This Row],[Valoare estimata 
- lei fără TVA -]]</f>
        <v>3550</v>
      </c>
      <c r="F63" s="335" t="s">
        <v>677</v>
      </c>
      <c r="G63" s="335" t="s">
        <v>706</v>
      </c>
      <c r="H63" s="334"/>
      <c r="I63" s="334" t="s">
        <v>150</v>
      </c>
      <c r="J63" s="334" t="s">
        <v>607</v>
      </c>
    </row>
    <row r="64" spans="1:10" ht="123" x14ac:dyDescent="0.25">
      <c r="A64" s="334" t="s">
        <v>708</v>
      </c>
      <c r="B64" s="333" t="s">
        <v>709</v>
      </c>
      <c r="C64" s="334" t="s">
        <v>474</v>
      </c>
      <c r="D64" s="315">
        <v>152000</v>
      </c>
      <c r="E64" s="315">
        <f>Tabel_A1_AD[[#This Row],[Valoare estimata 
- lei fără TVA -]]*1.19</f>
        <v>180880</v>
      </c>
      <c r="F64" s="335" t="s">
        <v>671</v>
      </c>
      <c r="G64" s="335" t="s">
        <v>710</v>
      </c>
      <c r="H64" s="334"/>
      <c r="I64" s="334" t="s">
        <v>150</v>
      </c>
      <c r="J64" s="334" t="s">
        <v>607</v>
      </c>
    </row>
    <row r="65" spans="1:10" ht="61.5" x14ac:dyDescent="0.25">
      <c r="A65" s="334" t="s">
        <v>711</v>
      </c>
      <c r="B65" s="333" t="s">
        <v>712</v>
      </c>
      <c r="C65" s="334" t="s">
        <v>713</v>
      </c>
      <c r="D65" s="315">
        <v>8400</v>
      </c>
      <c r="E65" s="315">
        <f>Tabel_A1_AD[[#This Row],[Valoare estimata 
- lei fără TVA -]]*1.19</f>
        <v>9996</v>
      </c>
      <c r="F65" s="335" t="s">
        <v>677</v>
      </c>
      <c r="G65" s="335" t="s">
        <v>714</v>
      </c>
      <c r="H65" s="334"/>
      <c r="I65" s="334" t="s">
        <v>151</v>
      </c>
      <c r="J65" s="334" t="s">
        <v>607</v>
      </c>
    </row>
    <row r="66" spans="1:10" ht="61.5" x14ac:dyDescent="0.25">
      <c r="A66" s="334" t="s">
        <v>716</v>
      </c>
      <c r="B66" s="333" t="s">
        <v>717</v>
      </c>
      <c r="C66" s="334" t="s">
        <v>718</v>
      </c>
      <c r="D66" s="315">
        <v>3107.22</v>
      </c>
      <c r="E66" s="315">
        <f>Tabel_A1_AD[[#This Row],[Valoare estimata 
- lei fără TVA -]]*1.19</f>
        <v>3697.5917999999997</v>
      </c>
      <c r="F66" s="335" t="s">
        <v>714</v>
      </c>
      <c r="G66" s="335" t="s">
        <v>719</v>
      </c>
      <c r="H66" s="334"/>
      <c r="I66" s="334" t="s">
        <v>150</v>
      </c>
      <c r="J66" s="334" t="s">
        <v>607</v>
      </c>
    </row>
    <row r="67" spans="1:10" ht="92.25" x14ac:dyDescent="0.25">
      <c r="A67" s="334" t="s">
        <v>721</v>
      </c>
      <c r="B67" s="333" t="s">
        <v>722</v>
      </c>
      <c r="C67" s="334" t="s">
        <v>723</v>
      </c>
      <c r="D67" s="315">
        <v>53995</v>
      </c>
      <c r="E67" s="315">
        <f>Tabel_A1_AD[[#This Row],[Valoare estimata 
- lei fără TVA -]]*1.19</f>
        <v>64254.049999999996</v>
      </c>
      <c r="F67" s="335" t="s">
        <v>724</v>
      </c>
      <c r="G67" s="335" t="s">
        <v>719</v>
      </c>
      <c r="H67" s="334"/>
      <c r="I67" s="334" t="s">
        <v>150</v>
      </c>
      <c r="J67" s="334" t="s">
        <v>607</v>
      </c>
    </row>
    <row r="68" spans="1:10" ht="61.5" x14ac:dyDescent="0.25">
      <c r="A68" s="334" t="s">
        <v>725</v>
      </c>
      <c r="B68" s="333" t="s">
        <v>726</v>
      </c>
      <c r="C68" s="334" t="s">
        <v>727</v>
      </c>
      <c r="D68" s="315">
        <v>64924.11</v>
      </c>
      <c r="E68" s="315">
        <f>Tabel_A1_AD[[#This Row],[Valoare estimata 
- lei fără TVA -]]*1.19</f>
        <v>77259.690900000001</v>
      </c>
      <c r="F68" s="335" t="s">
        <v>724</v>
      </c>
      <c r="G68" s="335" t="s">
        <v>728</v>
      </c>
      <c r="H68" s="334"/>
      <c r="I68" s="334" t="s">
        <v>150</v>
      </c>
      <c r="J68" s="334" t="s">
        <v>775</v>
      </c>
    </row>
    <row r="69" spans="1:10" ht="61.5" x14ac:dyDescent="0.25">
      <c r="A69" s="334" t="s">
        <v>730</v>
      </c>
      <c r="B69" s="333" t="s">
        <v>732</v>
      </c>
      <c r="C69" s="334" t="s">
        <v>733</v>
      </c>
      <c r="D69" s="315">
        <v>25830</v>
      </c>
      <c r="E69" s="315">
        <f>Tabel_A1_AD[[#This Row],[Valoare estimata 
- lei fără TVA -]]*1.19</f>
        <v>30737.699999999997</v>
      </c>
      <c r="F69" s="335" t="s">
        <v>724</v>
      </c>
      <c r="G69" s="335" t="s">
        <v>734</v>
      </c>
      <c r="H69" s="334"/>
      <c r="I69" s="334" t="s">
        <v>150</v>
      </c>
      <c r="J69" s="334" t="s">
        <v>607</v>
      </c>
    </row>
    <row r="70" spans="1:10" ht="61.5" x14ac:dyDescent="0.25">
      <c r="A70" s="334" t="s">
        <v>730</v>
      </c>
      <c r="B70" s="333" t="s">
        <v>732</v>
      </c>
      <c r="C70" s="334" t="s">
        <v>733</v>
      </c>
      <c r="D70" s="315">
        <v>25830</v>
      </c>
      <c r="E70" s="315">
        <f>Tabel_A1_AD[[#This Row],[Valoare estimata 
- lei fără TVA -]]*1.19</f>
        <v>30737.699999999997</v>
      </c>
      <c r="F70" s="335" t="s">
        <v>724</v>
      </c>
      <c r="G70" s="335" t="s">
        <v>734</v>
      </c>
      <c r="H70" s="334"/>
      <c r="I70" s="334" t="s">
        <v>150</v>
      </c>
      <c r="J70" s="334" t="s">
        <v>607</v>
      </c>
    </row>
    <row r="71" spans="1:10" ht="61.5" x14ac:dyDescent="0.25">
      <c r="A71" s="334" t="s">
        <v>731</v>
      </c>
      <c r="B71" s="333" t="s">
        <v>735</v>
      </c>
      <c r="C71" s="334" t="s">
        <v>488</v>
      </c>
      <c r="D71" s="315">
        <v>2428</v>
      </c>
      <c r="E71" s="315">
        <f>Tabel_A1_AD[[#This Row],[Valoare estimata 
- lei fără TVA -]]*1.19</f>
        <v>2889.3199999999997</v>
      </c>
      <c r="F71" s="335" t="s">
        <v>724</v>
      </c>
      <c r="G71" s="335" t="s">
        <v>710</v>
      </c>
      <c r="H71" s="334"/>
      <c r="I71" s="334" t="s">
        <v>150</v>
      </c>
      <c r="J71" s="334" t="s">
        <v>607</v>
      </c>
    </row>
    <row r="72" spans="1:10" ht="61.5" x14ac:dyDescent="0.25">
      <c r="A72" s="334" t="s">
        <v>736</v>
      </c>
      <c r="B72" s="333" t="s">
        <v>737</v>
      </c>
      <c r="C72" s="334" t="s">
        <v>738</v>
      </c>
      <c r="D72" s="315">
        <v>3800</v>
      </c>
      <c r="E72" s="315">
        <f>Tabel_A1_AD[[#This Row],[Valoare estimata 
- lei fără TVA -]]*1.19</f>
        <v>4522</v>
      </c>
      <c r="F72" s="335" t="s">
        <v>683</v>
      </c>
      <c r="G72" s="335" t="s">
        <v>710</v>
      </c>
      <c r="H72" s="349"/>
      <c r="I72" s="334" t="s">
        <v>150</v>
      </c>
      <c r="J72" s="334" t="s">
        <v>607</v>
      </c>
    </row>
    <row r="73" spans="1:10" ht="61.5" x14ac:dyDescent="0.25">
      <c r="A73" s="334" t="s">
        <v>739</v>
      </c>
      <c r="B73" s="333" t="s">
        <v>741</v>
      </c>
      <c r="C73" s="334" t="s">
        <v>742</v>
      </c>
      <c r="D73" s="315">
        <v>32367.16</v>
      </c>
      <c r="E73" s="315">
        <f>Tabel_A1_AD[[#This Row],[Valoare estimata 
- lei fără TVA -]]*1.19</f>
        <v>38516.920399999995</v>
      </c>
      <c r="F73" s="335" t="s">
        <v>586</v>
      </c>
      <c r="G73" s="335" t="s">
        <v>743</v>
      </c>
      <c r="H73" s="349"/>
      <c r="I73" s="334" t="s">
        <v>150</v>
      </c>
      <c r="J73" s="334" t="s">
        <v>607</v>
      </c>
    </row>
    <row r="74" spans="1:10" ht="123.75" customHeight="1" x14ac:dyDescent="0.25">
      <c r="A74" s="334" t="s">
        <v>740</v>
      </c>
      <c r="B74" s="333" t="s">
        <v>744</v>
      </c>
      <c r="C74" s="334" t="s">
        <v>745</v>
      </c>
      <c r="D74" s="315">
        <v>2563.12</v>
      </c>
      <c r="E74" s="315">
        <f>Tabel_A1_AD[[#This Row],[Valoare estimata 
- lei fără TVA -]]*1.19</f>
        <v>3050.1127999999999</v>
      </c>
      <c r="F74" s="335" t="s">
        <v>746</v>
      </c>
      <c r="G74" s="335" t="s">
        <v>743</v>
      </c>
      <c r="H74" s="334"/>
      <c r="I74" s="334" t="s">
        <v>150</v>
      </c>
      <c r="J74" s="334" t="s">
        <v>607</v>
      </c>
    </row>
    <row r="75" spans="1:10" ht="90.75" customHeight="1" x14ac:dyDescent="0.25">
      <c r="A75" s="334" t="s">
        <v>747</v>
      </c>
      <c r="B75" s="333" t="s">
        <v>749</v>
      </c>
      <c r="C75" s="334" t="s">
        <v>692</v>
      </c>
      <c r="D75" s="315">
        <v>1040.06</v>
      </c>
      <c r="E75" s="315">
        <f>Tabel_A1_AD[[#This Row],[Valoare estimata 
- lei fără TVA -]]*1.19</f>
        <v>1237.6713999999999</v>
      </c>
      <c r="F75" s="335" t="s">
        <v>750</v>
      </c>
      <c r="G75" s="335" t="s">
        <v>751</v>
      </c>
      <c r="H75" s="349"/>
      <c r="I75" s="334" t="s">
        <v>151</v>
      </c>
      <c r="J75" s="334" t="s">
        <v>607</v>
      </c>
    </row>
    <row r="76" spans="1:10" ht="131.25" customHeight="1" x14ac:dyDescent="0.25">
      <c r="A76" s="334" t="s">
        <v>748</v>
      </c>
      <c r="B76" s="333" t="s">
        <v>752</v>
      </c>
      <c r="C76" s="334" t="s">
        <v>753</v>
      </c>
      <c r="D76" s="315">
        <v>41610.959999999999</v>
      </c>
      <c r="E76" s="315">
        <f>Tabel_A1_AD[[#This Row],[Valoare estimata 
- lei fără TVA -]]*1.19</f>
        <v>49517.042399999998</v>
      </c>
      <c r="F76" s="335" t="s">
        <v>746</v>
      </c>
      <c r="G76" s="335" t="s">
        <v>754</v>
      </c>
      <c r="H76" s="349"/>
      <c r="I76" s="334" t="s">
        <v>150</v>
      </c>
      <c r="J76" s="334" t="s">
        <v>607</v>
      </c>
    </row>
    <row r="77" spans="1:10" ht="61.5" x14ac:dyDescent="0.25">
      <c r="A77" s="334" t="s">
        <v>755</v>
      </c>
      <c r="B77" s="333" t="s">
        <v>756</v>
      </c>
      <c r="C77" s="334" t="s">
        <v>593</v>
      </c>
      <c r="D77" s="315">
        <v>3000</v>
      </c>
      <c r="E77" s="315">
        <f>Tabel_A1_AD[[#This Row],[Valoare estimata 
- lei fără TVA -]]*1.19</f>
        <v>3570</v>
      </c>
      <c r="F77" s="335" t="s">
        <v>719</v>
      </c>
      <c r="G77" s="335" t="s">
        <v>743</v>
      </c>
      <c r="H77" s="334"/>
      <c r="I77" s="334" t="s">
        <v>150</v>
      </c>
      <c r="J77" s="334" t="s">
        <v>607</v>
      </c>
    </row>
    <row r="78" spans="1:10" ht="61.5" x14ac:dyDescent="0.25">
      <c r="A78" s="334" t="s">
        <v>757</v>
      </c>
      <c r="B78" s="333" t="s">
        <v>758</v>
      </c>
      <c r="C78" s="334" t="s">
        <v>759</v>
      </c>
      <c r="D78" s="315">
        <v>9500</v>
      </c>
      <c r="E78" s="315">
        <f>Tabel_A1_AD[[#This Row],[Valoare estimata 
- lei fără TVA -]]*1.19</f>
        <v>11305</v>
      </c>
      <c r="F78" s="335" t="s">
        <v>719</v>
      </c>
      <c r="G78" s="335" t="s">
        <v>728</v>
      </c>
      <c r="H78" s="334"/>
      <c r="I78" s="334" t="s">
        <v>150</v>
      </c>
      <c r="J78" s="334" t="s">
        <v>607</v>
      </c>
    </row>
    <row r="79" spans="1:10" ht="30.75" x14ac:dyDescent="0.25">
      <c r="A79" s="334" t="s">
        <v>760</v>
      </c>
      <c r="B79" s="333" t="s">
        <v>761</v>
      </c>
      <c r="C79" s="334" t="s">
        <v>503</v>
      </c>
      <c r="D79" s="315">
        <v>24132</v>
      </c>
      <c r="E79" s="315">
        <f>Tabel_A1_AD[[#This Row],[Valoare estimata 
- lei fără TVA -]]*1.19</f>
        <v>28717.079999999998</v>
      </c>
      <c r="F79" s="335" t="s">
        <v>710</v>
      </c>
      <c r="G79" s="335" t="s">
        <v>754</v>
      </c>
      <c r="H79" s="334"/>
      <c r="I79" s="334" t="s">
        <v>150</v>
      </c>
      <c r="J79" s="334" t="s">
        <v>707</v>
      </c>
    </row>
    <row r="80" spans="1:10" ht="33.75" customHeight="1" x14ac:dyDescent="0.25">
      <c r="A80" s="334" t="s">
        <v>762</v>
      </c>
      <c r="B80" s="333" t="s">
        <v>763</v>
      </c>
      <c r="C80" s="334" t="s">
        <v>764</v>
      </c>
      <c r="D80" s="315">
        <v>3500</v>
      </c>
      <c r="E80" s="315">
        <f>Tabel_A1_AD[[#This Row],[Valoare estimata 
- lei fără TVA -]]*1.19</f>
        <v>4165</v>
      </c>
      <c r="F80" s="335" t="s">
        <v>765</v>
      </c>
      <c r="G80" s="335" t="s">
        <v>754</v>
      </c>
      <c r="H80" s="349"/>
      <c r="I80" s="334" t="s">
        <v>150</v>
      </c>
      <c r="J80" s="334" t="s">
        <v>607</v>
      </c>
    </row>
    <row r="81" spans="1:10" ht="34.5" customHeight="1" x14ac:dyDescent="0.25">
      <c r="A81" s="334" t="s">
        <v>766</v>
      </c>
      <c r="B81" s="333" t="s">
        <v>767</v>
      </c>
      <c r="C81" s="334" t="s">
        <v>768</v>
      </c>
      <c r="D81" s="315">
        <v>391.85</v>
      </c>
      <c r="E81" s="315">
        <f>Tabel_A1_AD[[#This Row],[Valoare estimata 
- lei fără TVA -]]*1.19</f>
        <v>466.30150000000003</v>
      </c>
      <c r="F81" s="335" t="s">
        <v>769</v>
      </c>
      <c r="G81" s="335" t="s">
        <v>754</v>
      </c>
      <c r="H81" s="349"/>
      <c r="I81" s="334" t="s">
        <v>150</v>
      </c>
      <c r="J81" s="334" t="s">
        <v>607</v>
      </c>
    </row>
    <row r="82" spans="1:10" ht="61.5" x14ac:dyDescent="0.25">
      <c r="A82" s="334" t="s">
        <v>770</v>
      </c>
      <c r="B82" s="333" t="s">
        <v>771</v>
      </c>
      <c r="C82" s="334" t="s">
        <v>772</v>
      </c>
      <c r="D82" s="315">
        <v>77247.100000000006</v>
      </c>
      <c r="E82" s="315">
        <f>Tabel_A1_AD[[#This Row],[Valoare estimata 
- lei fără TVA -]]*1.19</f>
        <v>91924.048999999999</v>
      </c>
      <c r="F82" s="335" t="s">
        <v>773</v>
      </c>
      <c r="G82" s="335" t="s">
        <v>774</v>
      </c>
      <c r="H82" s="334"/>
      <c r="I82" s="334" t="s">
        <v>150</v>
      </c>
      <c r="J82" s="334" t="s">
        <v>607</v>
      </c>
    </row>
    <row r="83" spans="1:10" ht="61.5" x14ac:dyDescent="0.25">
      <c r="A83" s="334" t="s">
        <v>776</v>
      </c>
      <c r="B83" s="333" t="s">
        <v>777</v>
      </c>
      <c r="C83" s="334" t="s">
        <v>619</v>
      </c>
      <c r="D83" s="315">
        <v>548.05999999999995</v>
      </c>
      <c r="E83" s="315">
        <f>Tabel_A1_AD[[#This Row],[Valoare estimata 
- lei fără TVA -]]*1.19</f>
        <v>652.19139999999993</v>
      </c>
      <c r="F83" s="335" t="s">
        <v>563</v>
      </c>
      <c r="G83" s="335" t="s">
        <v>778</v>
      </c>
      <c r="H83" s="334"/>
      <c r="I83" s="334" t="s">
        <v>151</v>
      </c>
      <c r="J83" s="334" t="s">
        <v>607</v>
      </c>
    </row>
    <row r="84" spans="1:10" ht="61.5" x14ac:dyDescent="0.25">
      <c r="A84" s="334" t="s">
        <v>779</v>
      </c>
      <c r="B84" s="333" t="s">
        <v>780</v>
      </c>
      <c r="C84" s="334" t="s">
        <v>593</v>
      </c>
      <c r="D84" s="315">
        <v>3406</v>
      </c>
      <c r="E84" s="315">
        <f>Tabel_A1_AD[[#This Row],[Valoare estimata 
- lei fără TVA -]]*1.19</f>
        <v>4053.14</v>
      </c>
      <c r="F84" s="335" t="s">
        <v>563</v>
      </c>
      <c r="G84" s="335" t="s">
        <v>781</v>
      </c>
      <c r="H84" s="334"/>
      <c r="I84" s="334" t="s">
        <v>150</v>
      </c>
      <c r="J84" s="334" t="s">
        <v>607</v>
      </c>
    </row>
    <row r="85" spans="1:10" ht="92.25" x14ac:dyDescent="0.25">
      <c r="A85" s="334" t="s">
        <v>782</v>
      </c>
      <c r="B85" s="333" t="s">
        <v>784</v>
      </c>
      <c r="C85" s="334" t="s">
        <v>785</v>
      </c>
      <c r="D85" s="315">
        <v>30964.68</v>
      </c>
      <c r="E85" s="315">
        <f>Tabel_A1_AD[[#This Row],[Valoare estimata 
- lei fără TVA -]]*1.19</f>
        <v>36847.9692</v>
      </c>
      <c r="F85" s="335" t="s">
        <v>786</v>
      </c>
      <c r="G85" s="335" t="s">
        <v>787</v>
      </c>
      <c r="H85" s="334"/>
      <c r="I85" s="334" t="s">
        <v>150</v>
      </c>
      <c r="J85" s="334" t="s">
        <v>607</v>
      </c>
    </row>
    <row r="86" spans="1:10" ht="61.5" x14ac:dyDescent="0.25">
      <c r="A86" s="334" t="s">
        <v>783</v>
      </c>
      <c r="B86" s="333" t="s">
        <v>788</v>
      </c>
      <c r="C86" s="334" t="s">
        <v>759</v>
      </c>
      <c r="D86" s="315">
        <v>8380</v>
      </c>
      <c r="E86" s="315">
        <f>Tabel_A1_AD[[#This Row],[Valoare estimata 
- lei fără TVA -]]*1.19</f>
        <v>9972.1999999999989</v>
      </c>
      <c r="F86" s="335" t="s">
        <v>751</v>
      </c>
      <c r="G86" s="335" t="s">
        <v>778</v>
      </c>
      <c r="H86" s="334"/>
      <c r="I86" s="334" t="s">
        <v>151</v>
      </c>
      <c r="J86" s="334" t="s">
        <v>607</v>
      </c>
    </row>
    <row r="87" spans="1:10" ht="61.5" x14ac:dyDescent="0.25">
      <c r="A87" s="334" t="s">
        <v>789</v>
      </c>
      <c r="B87" s="333" t="s">
        <v>777</v>
      </c>
      <c r="C87" s="334" t="s">
        <v>619</v>
      </c>
      <c r="D87" s="315">
        <v>588.24</v>
      </c>
      <c r="E87" s="315">
        <f>Tabel_A1_AD[[#This Row],[Valoare estimata 
- lei fără TVA -]]*1.19</f>
        <v>700.00559999999996</v>
      </c>
      <c r="F87" s="335" t="s">
        <v>790</v>
      </c>
      <c r="G87" s="335" t="s">
        <v>778</v>
      </c>
      <c r="H87" s="334"/>
      <c r="I87" s="334" t="s">
        <v>151</v>
      </c>
      <c r="J87" s="334" t="s">
        <v>607</v>
      </c>
    </row>
    <row r="88" spans="1:10" ht="61.5" x14ac:dyDescent="0.25">
      <c r="A88" s="334" t="s">
        <v>791</v>
      </c>
      <c r="B88" s="333" t="s">
        <v>792</v>
      </c>
      <c r="C88" s="334" t="s">
        <v>695</v>
      </c>
      <c r="D88" s="315">
        <v>2521.0100000000002</v>
      </c>
      <c r="E88" s="315">
        <f>Tabel_A1_AD[[#This Row],[Valoare estimata 
- lei fără TVA -]]*1.19</f>
        <v>3000.0019000000002</v>
      </c>
      <c r="F88" s="335" t="s">
        <v>793</v>
      </c>
      <c r="G88" s="335" t="s">
        <v>774</v>
      </c>
      <c r="H88" s="334"/>
      <c r="I88" s="334" t="s">
        <v>151</v>
      </c>
      <c r="J88" s="334" t="s">
        <v>607</v>
      </c>
    </row>
    <row r="89" spans="1:10" ht="39.75" customHeight="1" x14ac:dyDescent="0.25">
      <c r="A89" s="334" t="s">
        <v>794</v>
      </c>
      <c r="B89" s="333" t="s">
        <v>795</v>
      </c>
      <c r="C89" s="334" t="s">
        <v>796</v>
      </c>
      <c r="D89" s="315">
        <v>4960</v>
      </c>
      <c r="E89" s="315">
        <f>Tabel_A1_AD[[#This Row],[Valoare estimata 
- lei fără TVA -]]*1.19</f>
        <v>5902.4</v>
      </c>
      <c r="F89" s="335" t="s">
        <v>797</v>
      </c>
      <c r="G89" s="335" t="s">
        <v>445</v>
      </c>
      <c r="H89" s="334"/>
      <c r="I89" s="334" t="s">
        <v>150</v>
      </c>
      <c r="J89" s="334" t="s">
        <v>607</v>
      </c>
    </row>
    <row r="90" spans="1:10" ht="61.5" x14ac:dyDescent="0.25">
      <c r="A90" s="334" t="s">
        <v>798</v>
      </c>
      <c r="B90" s="333" t="s">
        <v>777</v>
      </c>
      <c r="C90" s="334" t="s">
        <v>619</v>
      </c>
      <c r="D90" s="315">
        <v>791.09</v>
      </c>
      <c r="E90" s="315">
        <f>Tabel_A1_AD[[#This Row],[Valoare estimata 
- lei fără TVA -]]*1.19</f>
        <v>941.39710000000002</v>
      </c>
      <c r="F90" s="335" t="s">
        <v>797</v>
      </c>
      <c r="G90" s="335" t="s">
        <v>799</v>
      </c>
      <c r="H90" s="334"/>
      <c r="I90" s="334" t="s">
        <v>151</v>
      </c>
      <c r="J90" s="334" t="s">
        <v>607</v>
      </c>
    </row>
    <row r="91" spans="1:10" ht="61.5" x14ac:dyDescent="0.25">
      <c r="A91" s="334" t="s">
        <v>800</v>
      </c>
      <c r="B91" s="333" t="s">
        <v>802</v>
      </c>
      <c r="C91" s="334" t="s">
        <v>593</v>
      </c>
      <c r="D91" s="344">
        <v>6278</v>
      </c>
      <c r="E91" s="344">
        <v>6278</v>
      </c>
      <c r="F91" s="345">
        <v>45516</v>
      </c>
      <c r="G91" s="345">
        <v>45541</v>
      </c>
      <c r="H91" s="342"/>
      <c r="I91" s="334" t="s">
        <v>150</v>
      </c>
      <c r="J91" s="334" t="s">
        <v>607</v>
      </c>
    </row>
    <row r="92" spans="1:10" ht="61.5" x14ac:dyDescent="0.25">
      <c r="A92" s="334" t="s">
        <v>801</v>
      </c>
      <c r="B92" s="333" t="s">
        <v>694</v>
      </c>
      <c r="C92" s="334" t="s">
        <v>695</v>
      </c>
      <c r="D92" s="315">
        <v>4201.68</v>
      </c>
      <c r="E92" s="315">
        <f>Tabel_A1_AD[[#This Row],[Valoare estimata 
- lei fără TVA -]]*1.19</f>
        <v>4999.9992000000002</v>
      </c>
      <c r="F92" s="335">
        <v>45516</v>
      </c>
      <c r="G92" s="335">
        <v>45541</v>
      </c>
      <c r="H92" s="334"/>
      <c r="I92" s="334" t="s">
        <v>151</v>
      </c>
      <c r="J92" s="334" t="s">
        <v>607</v>
      </c>
    </row>
    <row r="93" spans="1:10" ht="61.5" x14ac:dyDescent="0.25">
      <c r="A93" s="334" t="s">
        <v>803</v>
      </c>
      <c r="B93" s="333" t="s">
        <v>804</v>
      </c>
      <c r="C93" s="334" t="s">
        <v>805</v>
      </c>
      <c r="D93" s="315">
        <v>1458</v>
      </c>
      <c r="E93" s="315">
        <f>Tabel_A1_AD[[#This Row],[Valoare estimata 
- lei fără TVA -]]*1.19</f>
        <v>1735.02</v>
      </c>
      <c r="F93" s="335">
        <v>45518</v>
      </c>
      <c r="G93" s="335">
        <v>45544</v>
      </c>
      <c r="H93" s="334"/>
      <c r="I93" s="334" t="s">
        <v>151</v>
      </c>
      <c r="J93" s="334" t="s">
        <v>607</v>
      </c>
    </row>
    <row r="94" spans="1:10" ht="61.5" x14ac:dyDescent="0.25">
      <c r="A94" s="334" t="s">
        <v>806</v>
      </c>
      <c r="B94" s="333" t="s">
        <v>777</v>
      </c>
      <c r="C94" s="334" t="s">
        <v>619</v>
      </c>
      <c r="D94" s="315">
        <v>168.06</v>
      </c>
      <c r="E94" s="315">
        <f>Tabel_A1_AD[[#This Row],[Valoare estimata 
- lei fără TVA -]]*1.19</f>
        <v>199.9914</v>
      </c>
      <c r="F94" s="335">
        <v>45530</v>
      </c>
      <c r="G94" s="335">
        <v>45548</v>
      </c>
      <c r="H94" s="334"/>
      <c r="I94" s="334" t="s">
        <v>151</v>
      </c>
      <c r="J94" s="334" t="s">
        <v>607</v>
      </c>
    </row>
    <row r="95" spans="1:10" ht="61.5" x14ac:dyDescent="0.25">
      <c r="A95" s="334" t="s">
        <v>807</v>
      </c>
      <c r="B95" s="333" t="s">
        <v>804</v>
      </c>
      <c r="C95" s="334" t="s">
        <v>805</v>
      </c>
      <c r="D95" s="315">
        <v>4144</v>
      </c>
      <c r="E95" s="315">
        <f>Tabel_A1_AD[[#This Row],[Valoare estimata 
- lei fără TVA -]]*1.19</f>
        <v>4931.3599999999997</v>
      </c>
      <c r="F95" s="335">
        <v>45532</v>
      </c>
      <c r="G95" s="335">
        <v>45551</v>
      </c>
      <c r="H95" s="334"/>
      <c r="I95" s="334" t="s">
        <v>151</v>
      </c>
      <c r="J95" s="334" t="s">
        <v>607</v>
      </c>
    </row>
    <row r="96" spans="1:10" s="25" customFormat="1" ht="41.25" customHeight="1" x14ac:dyDescent="0.25">
      <c r="A96" s="334" t="s">
        <v>808</v>
      </c>
      <c r="B96" s="333" t="s">
        <v>809</v>
      </c>
      <c r="C96" s="334" t="s">
        <v>810</v>
      </c>
      <c r="D96" s="315">
        <v>12970</v>
      </c>
      <c r="E96" s="315">
        <f>Tabel_A1_AD[[#This Row],[Valoare estimata 
- lei fără TVA -]]*1.19</f>
        <v>15434.3</v>
      </c>
      <c r="F96" s="335">
        <v>45533</v>
      </c>
      <c r="G96" s="335">
        <v>45565</v>
      </c>
      <c r="H96" s="334"/>
      <c r="I96" s="334" t="s">
        <v>150</v>
      </c>
      <c r="J96" s="334" t="s">
        <v>607</v>
      </c>
    </row>
    <row r="97" spans="1:10" s="25" customFormat="1" ht="46.5" customHeight="1" x14ac:dyDescent="0.25">
      <c r="A97" s="334" t="s">
        <v>811</v>
      </c>
      <c r="B97" s="333" t="s">
        <v>828</v>
      </c>
      <c r="C97" s="334" t="s">
        <v>288</v>
      </c>
      <c r="D97" s="315">
        <v>264967.74</v>
      </c>
      <c r="E97" s="315">
        <f>Tabel_A1_AD[[#This Row],[Valoare estimata 
- lei fără TVA -]]*1.19</f>
        <v>315311.61059999996</v>
      </c>
      <c r="F97" s="335" t="s">
        <v>787</v>
      </c>
      <c r="G97" s="335" t="s">
        <v>812</v>
      </c>
      <c r="H97" s="334"/>
      <c r="I97" s="334" t="s">
        <v>150</v>
      </c>
      <c r="J97" s="334" t="s">
        <v>607</v>
      </c>
    </row>
    <row r="98" spans="1:10" s="25" customFormat="1" ht="61.5" x14ac:dyDescent="0.25">
      <c r="A98" s="334" t="s">
        <v>813</v>
      </c>
      <c r="B98" s="333" t="s">
        <v>815</v>
      </c>
      <c r="C98" s="334" t="s">
        <v>816</v>
      </c>
      <c r="D98" s="315">
        <v>72000</v>
      </c>
      <c r="E98" s="315">
        <f>Tabel_A1_AD[[#This Row],[Valoare estimata 
- lei fără TVA -]]*1.19</f>
        <v>85680</v>
      </c>
      <c r="F98" s="335" t="s">
        <v>817</v>
      </c>
      <c r="G98" s="335" t="s">
        <v>818</v>
      </c>
      <c r="H98" s="334"/>
      <c r="I98" s="334" t="s">
        <v>150</v>
      </c>
      <c r="J98" s="334" t="s">
        <v>607</v>
      </c>
    </row>
    <row r="99" spans="1:10" ht="61.5" x14ac:dyDescent="0.25">
      <c r="A99" s="334" t="s">
        <v>814</v>
      </c>
      <c r="B99" s="333" t="s">
        <v>819</v>
      </c>
      <c r="C99" s="334" t="s">
        <v>161</v>
      </c>
      <c r="D99" s="315">
        <v>21276</v>
      </c>
      <c r="E99" s="315">
        <f>Tabel_A1_AD[[#This Row],[Valoare estimata 
- lei fără TVA -]]*1.19</f>
        <v>25318.44</v>
      </c>
      <c r="F99" s="335" t="s">
        <v>787</v>
      </c>
      <c r="G99" s="335" t="s">
        <v>446</v>
      </c>
      <c r="H99" s="334"/>
      <c r="I99" s="334" t="s">
        <v>150</v>
      </c>
      <c r="J99" s="334" t="s">
        <v>607</v>
      </c>
    </row>
    <row r="100" spans="1:10" ht="61.5" x14ac:dyDescent="0.25">
      <c r="A100" s="334" t="s">
        <v>820</v>
      </c>
      <c r="B100" s="333" t="s">
        <v>821</v>
      </c>
      <c r="C100" s="334" t="s">
        <v>619</v>
      </c>
      <c r="D100" s="315">
        <v>60</v>
      </c>
      <c r="E100" s="315">
        <f>Tabel_A1_AD[[#This Row],[Valoare estimata 
- lei fără TVA -]]*1.19</f>
        <v>71.399999999999991</v>
      </c>
      <c r="F100" s="335" t="s">
        <v>787</v>
      </c>
      <c r="G100" s="335" t="s">
        <v>822</v>
      </c>
      <c r="H100" s="334"/>
      <c r="I100" s="334" t="s">
        <v>151</v>
      </c>
      <c r="J100" s="334" t="s">
        <v>607</v>
      </c>
    </row>
    <row r="101" spans="1:10" ht="61.5" x14ac:dyDescent="0.25">
      <c r="A101" s="334" t="s">
        <v>823</v>
      </c>
      <c r="B101" s="333" t="s">
        <v>830</v>
      </c>
      <c r="C101" s="334" t="s">
        <v>619</v>
      </c>
      <c r="D101" s="315">
        <v>38</v>
      </c>
      <c r="E101" s="315">
        <f>Tabel_A1_AD[[#This Row],[Valoare estimata 
- lei fără TVA -]]*1.19</f>
        <v>45.22</v>
      </c>
      <c r="F101" s="335" t="s">
        <v>825</v>
      </c>
      <c r="G101" s="335" t="s">
        <v>822</v>
      </c>
      <c r="H101" s="334"/>
      <c r="I101" s="334" t="s">
        <v>151</v>
      </c>
      <c r="J101" s="334" t="s">
        <v>607</v>
      </c>
    </row>
    <row r="102" spans="1:10" ht="61.5" x14ac:dyDescent="0.25">
      <c r="A102" s="334" t="s">
        <v>824</v>
      </c>
      <c r="B102" s="333" t="s">
        <v>826</v>
      </c>
      <c r="C102" s="334" t="s">
        <v>796</v>
      </c>
      <c r="D102" s="315">
        <v>4960</v>
      </c>
      <c r="E102" s="315">
        <f>Tabel_A1_AD[[#This Row],[Valoare estimata 
- lei fără TVA -]]*1.19</f>
        <v>5902.4</v>
      </c>
      <c r="F102" s="335" t="s">
        <v>827</v>
      </c>
      <c r="G102" s="335" t="s">
        <v>446</v>
      </c>
      <c r="H102" s="334"/>
      <c r="I102" s="334" t="s">
        <v>150</v>
      </c>
      <c r="J102" s="334" t="s">
        <v>607</v>
      </c>
    </row>
    <row r="103" spans="1:10" ht="66" customHeight="1" x14ac:dyDescent="0.25">
      <c r="A103" s="334" t="s">
        <v>829</v>
      </c>
      <c r="B103" s="333" t="s">
        <v>831</v>
      </c>
      <c r="C103" s="334" t="s">
        <v>847</v>
      </c>
      <c r="D103" s="315">
        <v>1500</v>
      </c>
      <c r="E103" s="315">
        <f>Tabel_A1_AD[[#This Row],[Valoare estimata 
- lei fără TVA -]]*1.19</f>
        <v>1785</v>
      </c>
      <c r="F103" s="335" t="s">
        <v>817</v>
      </c>
      <c r="G103" s="335" t="s">
        <v>446</v>
      </c>
      <c r="H103" s="334"/>
      <c r="I103" s="334" t="s">
        <v>151</v>
      </c>
      <c r="J103" s="334" t="s">
        <v>715</v>
      </c>
    </row>
    <row r="104" spans="1:10" ht="61.5" x14ac:dyDescent="0.25">
      <c r="A104" s="334" t="s">
        <v>832</v>
      </c>
      <c r="B104" s="333" t="s">
        <v>837</v>
      </c>
      <c r="C104" s="334" t="s">
        <v>833</v>
      </c>
      <c r="D104" s="315">
        <v>17600</v>
      </c>
      <c r="E104" s="315">
        <f>Tabel_A1_AD[[#This Row],[Valoare estimata 
- lei fără TVA -]]*1.19</f>
        <v>20944</v>
      </c>
      <c r="F104" s="335" t="s">
        <v>817</v>
      </c>
      <c r="G104" s="335" t="s">
        <v>446</v>
      </c>
      <c r="H104" s="334"/>
      <c r="I104" s="334" t="s">
        <v>150</v>
      </c>
      <c r="J104" s="334" t="s">
        <v>607</v>
      </c>
    </row>
    <row r="105" spans="1:10" ht="61.5" x14ac:dyDescent="0.25">
      <c r="A105" s="334" t="s">
        <v>834</v>
      </c>
      <c r="B105" s="333" t="s">
        <v>835</v>
      </c>
      <c r="C105" s="334" t="s">
        <v>836</v>
      </c>
      <c r="D105" s="315">
        <v>92640</v>
      </c>
      <c r="E105" s="315">
        <f>Tabel_A1_AD[[#This Row],[Valoare estimata 
- lei fără TVA -]]*1.19</f>
        <v>110241.59999999999</v>
      </c>
      <c r="F105" s="335" t="s">
        <v>838</v>
      </c>
      <c r="G105" s="335" t="s">
        <v>446</v>
      </c>
      <c r="H105" s="334"/>
      <c r="I105" s="334" t="s">
        <v>150</v>
      </c>
      <c r="J105" s="334" t="s">
        <v>607</v>
      </c>
    </row>
    <row r="106" spans="1:10" ht="61.5" x14ac:dyDescent="0.25">
      <c r="A106" s="334" t="s">
        <v>839</v>
      </c>
      <c r="B106" s="333" t="s">
        <v>840</v>
      </c>
      <c r="C106" s="334" t="s">
        <v>738</v>
      </c>
      <c r="D106" s="315">
        <v>120000</v>
      </c>
      <c r="E106" s="315">
        <f>Tabel_A1_AD[[#This Row],[Valoare estimata 
- lei fără TVA -]]*1.19</f>
        <v>142800</v>
      </c>
      <c r="F106" s="335" t="s">
        <v>841</v>
      </c>
      <c r="G106" s="335" t="s">
        <v>842</v>
      </c>
      <c r="H106" s="334"/>
      <c r="I106" s="334" t="s">
        <v>150</v>
      </c>
      <c r="J106" s="334" t="s">
        <v>607</v>
      </c>
    </row>
    <row r="107" spans="1:10" ht="61.5" x14ac:dyDescent="0.25">
      <c r="A107" s="334" t="s">
        <v>843</v>
      </c>
      <c r="B107" s="333" t="s">
        <v>844</v>
      </c>
      <c r="C107" s="334" t="s">
        <v>257</v>
      </c>
      <c r="D107" s="315">
        <v>25000</v>
      </c>
      <c r="E107" s="315">
        <f>Tabel_A1_AD[[#This Row],[Valoare estimata 
- lei fără TVA -]]*1.19</f>
        <v>29750</v>
      </c>
      <c r="F107" s="335" t="s">
        <v>845</v>
      </c>
      <c r="G107" s="335" t="s">
        <v>846</v>
      </c>
      <c r="H107" s="334"/>
      <c r="I107" s="334" t="s">
        <v>150</v>
      </c>
      <c r="J107" s="334" t="s">
        <v>607</v>
      </c>
    </row>
    <row r="108" spans="1:10" ht="61.5" x14ac:dyDescent="0.25">
      <c r="A108" s="334" t="s">
        <v>848</v>
      </c>
      <c r="B108" s="333" t="s">
        <v>849</v>
      </c>
      <c r="C108" s="334" t="s">
        <v>833</v>
      </c>
      <c r="D108" s="315">
        <v>20110.64</v>
      </c>
      <c r="E108" s="315">
        <f>Tabel_A1_AD[[#This Row],[Valoare estimata 
- lei fără TVA -]]*1.19</f>
        <v>23931.661599999999</v>
      </c>
      <c r="F108" s="335" t="s">
        <v>850</v>
      </c>
      <c r="G108" s="335" t="s">
        <v>851</v>
      </c>
      <c r="H108" s="334"/>
      <c r="I108" s="334" t="s">
        <v>150</v>
      </c>
      <c r="J108" s="334" t="s">
        <v>607</v>
      </c>
    </row>
    <row r="109" spans="1:10" ht="61.5" x14ac:dyDescent="0.25">
      <c r="A109" s="334" t="s">
        <v>852</v>
      </c>
      <c r="B109" s="333" t="s">
        <v>854</v>
      </c>
      <c r="C109" s="334" t="s">
        <v>593</v>
      </c>
      <c r="D109" s="315">
        <v>59640</v>
      </c>
      <c r="E109" s="315">
        <v>59640</v>
      </c>
      <c r="F109" s="335" t="s">
        <v>855</v>
      </c>
      <c r="G109" s="335" t="s">
        <v>842</v>
      </c>
      <c r="H109" s="334"/>
      <c r="I109" s="334" t="s">
        <v>150</v>
      </c>
      <c r="J109" s="334" t="s">
        <v>607</v>
      </c>
    </row>
    <row r="110" spans="1:10" ht="61.5" x14ac:dyDescent="0.25">
      <c r="A110" s="334" t="s">
        <v>853</v>
      </c>
      <c r="B110" s="333" t="s">
        <v>856</v>
      </c>
      <c r="C110" s="334" t="s">
        <v>615</v>
      </c>
      <c r="D110" s="315">
        <v>1529.41</v>
      </c>
      <c r="E110" s="315">
        <f>Tabel_A1_AD[[#This Row],[Valoare estimata 
- lei fără TVA -]]*1.19</f>
        <v>1819.9979000000001</v>
      </c>
      <c r="F110" s="335" t="s">
        <v>855</v>
      </c>
      <c r="G110" s="335" t="s">
        <v>842</v>
      </c>
      <c r="H110" s="334"/>
      <c r="I110" s="334" t="s">
        <v>151</v>
      </c>
      <c r="J110" s="334" t="s">
        <v>607</v>
      </c>
    </row>
    <row r="111" spans="1:10" ht="100.5" customHeight="1" x14ac:dyDescent="0.25">
      <c r="A111" s="334" t="s">
        <v>857</v>
      </c>
      <c r="B111" s="333" t="s">
        <v>858</v>
      </c>
      <c r="C111" s="334" t="s">
        <v>859</v>
      </c>
      <c r="D111" s="315">
        <v>216987.6</v>
      </c>
      <c r="E111" s="315">
        <f>Tabel_A1_AD[[#This Row],[Valoare estimata 
- lei fără TVA -]]*1.19</f>
        <v>258215.24400000001</v>
      </c>
      <c r="F111" s="335" t="s">
        <v>860</v>
      </c>
      <c r="G111" s="335" t="s">
        <v>861</v>
      </c>
      <c r="H111" s="334"/>
      <c r="I111" s="334" t="s">
        <v>151</v>
      </c>
      <c r="J111" s="334" t="s">
        <v>707</v>
      </c>
    </row>
    <row r="112" spans="1:10" ht="39.75" customHeight="1" x14ac:dyDescent="0.25">
      <c r="A112" s="334" t="s">
        <v>862</v>
      </c>
      <c r="B112" s="333" t="s">
        <v>864</v>
      </c>
      <c r="C112" s="334" t="s">
        <v>865</v>
      </c>
      <c r="D112" s="315">
        <v>30000</v>
      </c>
      <c r="E112" s="315">
        <f>Tabel_A1_AD[[#This Row],[Valoare estimata 
- lei fără TVA -]]*1.19</f>
        <v>35700</v>
      </c>
      <c r="F112" s="335" t="s">
        <v>866</v>
      </c>
      <c r="G112" s="335" t="s">
        <v>861</v>
      </c>
      <c r="H112" s="334"/>
      <c r="I112" s="334" t="s">
        <v>151</v>
      </c>
      <c r="J112" s="334" t="s">
        <v>607</v>
      </c>
    </row>
    <row r="113" spans="1:10" ht="74.25" customHeight="1" x14ac:dyDescent="0.25">
      <c r="A113" s="334" t="s">
        <v>863</v>
      </c>
      <c r="B113" s="333" t="s">
        <v>867</v>
      </c>
      <c r="C113" s="334" t="s">
        <v>868</v>
      </c>
      <c r="D113" s="315">
        <v>70833.5</v>
      </c>
      <c r="E113" s="315">
        <f>Tabel_A1_AD[[#This Row],[Valoare estimata 
- lei fără TVA -]]*1.19</f>
        <v>84291.864999999991</v>
      </c>
      <c r="F113" s="335" t="s">
        <v>866</v>
      </c>
      <c r="G113" s="335" t="s">
        <v>861</v>
      </c>
      <c r="H113" s="334"/>
      <c r="I113" s="334" t="s">
        <v>150</v>
      </c>
      <c r="J113" s="334" t="s">
        <v>607</v>
      </c>
    </row>
    <row r="114" spans="1:10" ht="70.5" customHeight="1" x14ac:dyDescent="0.25">
      <c r="A114" s="334" t="s">
        <v>869</v>
      </c>
      <c r="B114" s="333" t="s">
        <v>870</v>
      </c>
      <c r="C114" s="334" t="s">
        <v>871</v>
      </c>
      <c r="D114" s="315">
        <v>234295</v>
      </c>
      <c r="E114" s="315">
        <f>Tabel_A1_AD[[#This Row],[Valoare estimata 
- lei fără TVA -]]*1.19</f>
        <v>278811.05</v>
      </c>
      <c r="F114" s="335" t="s">
        <v>818</v>
      </c>
      <c r="G114" s="335" t="s">
        <v>872</v>
      </c>
      <c r="H114" s="334"/>
      <c r="I114" s="334" t="s">
        <v>150</v>
      </c>
      <c r="J114" s="334" t="s">
        <v>607</v>
      </c>
    </row>
    <row r="115" spans="1:10" ht="61.5" x14ac:dyDescent="0.25">
      <c r="A115" s="334" t="s">
        <v>874</v>
      </c>
      <c r="B115" s="333" t="s">
        <v>875</v>
      </c>
      <c r="C115" s="334" t="s">
        <v>876</v>
      </c>
      <c r="D115" s="315">
        <v>4161.6000000000004</v>
      </c>
      <c r="E115" s="315">
        <f>Tabel_A1_AD[[#This Row],[Valoare estimata 
- lei fără TVA -]]*1.19</f>
        <v>4952.3040000000001</v>
      </c>
      <c r="F115" s="335" t="s">
        <v>877</v>
      </c>
      <c r="G115" s="335" t="s">
        <v>861</v>
      </c>
      <c r="H115" s="334"/>
      <c r="I115" s="334" t="s">
        <v>151</v>
      </c>
      <c r="J115" s="334" t="s">
        <v>607</v>
      </c>
    </row>
    <row r="116" spans="1:10" ht="92.25" x14ac:dyDescent="0.25">
      <c r="A116" s="334" t="s">
        <v>878</v>
      </c>
      <c r="B116" s="333" t="s">
        <v>879</v>
      </c>
      <c r="C116" s="334" t="s">
        <v>880</v>
      </c>
      <c r="D116" s="315">
        <v>174975</v>
      </c>
      <c r="E116" s="315">
        <f>Tabel_A1_AD[[#This Row],[Valoare estimata 
- lei fără TVA -]]*1.19</f>
        <v>208220.25</v>
      </c>
      <c r="F116" s="335" t="s">
        <v>818</v>
      </c>
      <c r="G116" s="335" t="s">
        <v>881</v>
      </c>
      <c r="H116" s="334"/>
      <c r="I116" s="334" t="s">
        <v>150</v>
      </c>
      <c r="J116" s="334" t="s">
        <v>607</v>
      </c>
    </row>
    <row r="117" spans="1:10" ht="61.5" x14ac:dyDescent="0.25">
      <c r="A117" s="334" t="s">
        <v>882</v>
      </c>
      <c r="B117" s="333" t="s">
        <v>883</v>
      </c>
      <c r="C117" s="334" t="s">
        <v>161</v>
      </c>
      <c r="D117" s="315">
        <v>745</v>
      </c>
      <c r="E117" s="315">
        <f>Tabel_A1_AD[[#This Row],[Valoare estimata 
- lei fără TVA -]]*1.19</f>
        <v>886.55</v>
      </c>
      <c r="F117" s="335" t="s">
        <v>818</v>
      </c>
      <c r="G117" s="335" t="s">
        <v>861</v>
      </c>
      <c r="H117" s="334"/>
      <c r="I117" s="334" t="s">
        <v>151</v>
      </c>
      <c r="J117" s="334" t="s">
        <v>607</v>
      </c>
    </row>
    <row r="118" spans="1:10" ht="61.5" x14ac:dyDescent="0.25">
      <c r="A118" s="334" t="s">
        <v>884</v>
      </c>
      <c r="B118" s="333" t="s">
        <v>886</v>
      </c>
      <c r="C118" s="334" t="s">
        <v>887</v>
      </c>
      <c r="D118" s="315">
        <v>35600</v>
      </c>
      <c r="E118" s="315">
        <f>Tabel_A1_AD[[#This Row],[Valoare estimata 
- lei fără TVA -]]*1.19</f>
        <v>42364</v>
      </c>
      <c r="F118" s="335" t="s">
        <v>888</v>
      </c>
      <c r="G118" s="335" t="s">
        <v>881</v>
      </c>
      <c r="H118" s="334"/>
      <c r="I118" s="334" t="s">
        <v>150</v>
      </c>
      <c r="J118" s="334" t="s">
        <v>607</v>
      </c>
    </row>
    <row r="119" spans="1:10" ht="61.5" x14ac:dyDescent="0.25">
      <c r="A119" s="334" t="s">
        <v>885</v>
      </c>
      <c r="B119" s="333" t="s">
        <v>889</v>
      </c>
      <c r="C119" s="334" t="s">
        <v>890</v>
      </c>
      <c r="D119" s="315">
        <v>5850</v>
      </c>
      <c r="E119" s="315">
        <f>Tabel_A1_AD[[#This Row],[Valoare estimata 
- lei fără TVA -]]*1.19</f>
        <v>6961.5</v>
      </c>
      <c r="F119" s="335" t="s">
        <v>888</v>
      </c>
      <c r="G119" s="335" t="s">
        <v>881</v>
      </c>
      <c r="H119" s="334"/>
      <c r="I119" s="334" t="s">
        <v>150</v>
      </c>
      <c r="J119" s="334" t="s">
        <v>607</v>
      </c>
    </row>
    <row r="120" spans="1:10" ht="61.5" x14ac:dyDescent="0.25">
      <c r="A120" s="334" t="s">
        <v>891</v>
      </c>
      <c r="B120" s="333" t="s">
        <v>892</v>
      </c>
      <c r="C120" s="334" t="s">
        <v>692</v>
      </c>
      <c r="D120" s="315">
        <v>2450</v>
      </c>
      <c r="E120" s="315">
        <f>Tabel_A1_AD[[#This Row],[Valoare estimata 
- lei fără TVA -]]*1.19</f>
        <v>2915.5</v>
      </c>
      <c r="F120" s="335" t="s">
        <v>893</v>
      </c>
      <c r="G120" s="335" t="s">
        <v>881</v>
      </c>
      <c r="H120" s="334"/>
      <c r="I120" s="334" t="s">
        <v>150</v>
      </c>
      <c r="J120" s="334" t="s">
        <v>607</v>
      </c>
    </row>
    <row r="121" spans="1:10" ht="61.5" x14ac:dyDescent="0.25">
      <c r="A121" s="334" t="s">
        <v>894</v>
      </c>
      <c r="B121" s="333" t="s">
        <v>895</v>
      </c>
      <c r="C121" s="334" t="s">
        <v>772</v>
      </c>
      <c r="D121" s="315">
        <v>8217</v>
      </c>
      <c r="E121" s="315">
        <f>Tabel_A1_AD[[#This Row],[Valoare estimata 
- lei fără TVA -]]*1.19</f>
        <v>9778.23</v>
      </c>
      <c r="F121" s="335" t="s">
        <v>896</v>
      </c>
      <c r="G121" s="335" t="s">
        <v>881</v>
      </c>
      <c r="H121" s="334"/>
      <c r="I121" s="334" t="s">
        <v>150</v>
      </c>
      <c r="J121" s="334" t="s">
        <v>607</v>
      </c>
    </row>
    <row r="122" spans="1:10" ht="61.5" x14ac:dyDescent="0.25">
      <c r="A122" s="334" t="s">
        <v>897</v>
      </c>
      <c r="B122" s="333" t="s">
        <v>898</v>
      </c>
      <c r="C122" s="334" t="s">
        <v>515</v>
      </c>
      <c r="D122" s="315">
        <v>336.13</v>
      </c>
      <c r="E122" s="315">
        <f>Tabel_A1_AD[[#This Row],[Valoare estimata 
- lei fără TVA -]]*1.19</f>
        <v>399.99469999999997</v>
      </c>
      <c r="F122" s="335" t="s">
        <v>896</v>
      </c>
      <c r="G122" s="335" t="s">
        <v>881</v>
      </c>
      <c r="H122" s="334"/>
      <c r="I122" s="334" t="s">
        <v>151</v>
      </c>
      <c r="J122" s="334" t="s">
        <v>607</v>
      </c>
    </row>
    <row r="123" spans="1:10" ht="61.5" x14ac:dyDescent="0.25">
      <c r="A123" s="334" t="s">
        <v>899</v>
      </c>
      <c r="B123" s="333" t="s">
        <v>900</v>
      </c>
      <c r="C123" s="334" t="s">
        <v>738</v>
      </c>
      <c r="D123" s="315">
        <v>4000</v>
      </c>
      <c r="E123" s="315">
        <f>Tabel_A1_AD[[#This Row],[Valoare estimata 
- lei fără TVA -]]*1.19</f>
        <v>4760</v>
      </c>
      <c r="F123" s="335" t="s">
        <v>896</v>
      </c>
      <c r="G123" s="335" t="s">
        <v>901</v>
      </c>
      <c r="H123" s="334"/>
      <c r="I123" s="334" t="s">
        <v>150</v>
      </c>
      <c r="J123" s="334" t="s">
        <v>607</v>
      </c>
    </row>
    <row r="124" spans="1:10" ht="61.5" x14ac:dyDescent="0.25">
      <c r="A124" s="334" t="s">
        <v>902</v>
      </c>
      <c r="B124" s="333" t="s">
        <v>856</v>
      </c>
      <c r="C124" s="334" t="s">
        <v>615</v>
      </c>
      <c r="D124" s="315">
        <v>1815.13</v>
      </c>
      <c r="E124" s="315">
        <f>Tabel_A1_AD[[#This Row],[Valoare estimata 
- lei fără TVA -]]*1.19</f>
        <v>2160.0047</v>
      </c>
      <c r="F124" s="335" t="s">
        <v>861</v>
      </c>
      <c r="G124" s="335" t="s">
        <v>881</v>
      </c>
      <c r="H124" s="334"/>
      <c r="I124" s="334" t="s">
        <v>151</v>
      </c>
      <c r="J124" s="334" t="s">
        <v>607</v>
      </c>
    </row>
    <row r="125" spans="1:10" ht="61.5" x14ac:dyDescent="0.25">
      <c r="A125" s="334" t="s">
        <v>903</v>
      </c>
      <c r="B125" s="333" t="s">
        <v>854</v>
      </c>
      <c r="C125" s="334" t="s">
        <v>593</v>
      </c>
      <c r="D125" s="315">
        <v>53464</v>
      </c>
      <c r="E125" s="315">
        <v>53464</v>
      </c>
      <c r="F125" s="335" t="s">
        <v>904</v>
      </c>
      <c r="G125" s="335" t="s">
        <v>881</v>
      </c>
      <c r="H125" s="334"/>
      <c r="I125" s="334" t="s">
        <v>150</v>
      </c>
      <c r="J125" s="334" t="s">
        <v>607</v>
      </c>
    </row>
    <row r="126" spans="1:10" ht="61.5" x14ac:dyDescent="0.25">
      <c r="A126" s="334" t="s">
        <v>905</v>
      </c>
      <c r="B126" s="333" t="s">
        <v>906</v>
      </c>
      <c r="C126" s="334" t="s">
        <v>907</v>
      </c>
      <c r="D126" s="315">
        <v>331092.44</v>
      </c>
      <c r="E126" s="315">
        <f>Tabel_A1_AD[[#This Row],[Valoare estimata 
- lei fără TVA -]]*1.19</f>
        <v>394000.0036</v>
      </c>
      <c r="F126" s="335" t="s">
        <v>908</v>
      </c>
      <c r="G126" s="335" t="s">
        <v>909</v>
      </c>
      <c r="H126" s="334"/>
      <c r="I126" s="334" t="s">
        <v>150</v>
      </c>
      <c r="J126" s="334" t="s">
        <v>607</v>
      </c>
    </row>
    <row r="127" spans="1:10" ht="61.5" x14ac:dyDescent="0.25">
      <c r="A127" s="334" t="s">
        <v>910</v>
      </c>
      <c r="B127" s="333" t="s">
        <v>911</v>
      </c>
      <c r="C127" s="334" t="s">
        <v>912</v>
      </c>
      <c r="D127" s="315">
        <v>21054.62</v>
      </c>
      <c r="E127" s="315">
        <f>Tabel_A1_AD[[#This Row],[Valoare estimata 
- lei fără TVA -]]*1.19</f>
        <v>25054.997799999997</v>
      </c>
      <c r="F127" s="335" t="s">
        <v>908</v>
      </c>
      <c r="G127" s="335" t="s">
        <v>909</v>
      </c>
      <c r="H127" s="334"/>
      <c r="I127" s="334" t="s">
        <v>150</v>
      </c>
      <c r="J127" s="334" t="s">
        <v>607</v>
      </c>
    </row>
    <row r="128" spans="1:10" ht="61.5" x14ac:dyDescent="0.25">
      <c r="A128" s="334" t="s">
        <v>913</v>
      </c>
      <c r="B128" s="333" t="s">
        <v>914</v>
      </c>
      <c r="C128" s="334" t="s">
        <v>915</v>
      </c>
      <c r="D128" s="315">
        <v>7098.32</v>
      </c>
      <c r="E128" s="315">
        <f>Tabel_A1_AD[[#This Row],[Valoare estimata 
- lei fără TVA -]]*1.19</f>
        <v>8447.0007999999998</v>
      </c>
      <c r="F128" s="335" t="s">
        <v>916</v>
      </c>
      <c r="G128" s="335" t="s">
        <v>872</v>
      </c>
      <c r="H128" s="334"/>
      <c r="I128" s="334" t="s">
        <v>150</v>
      </c>
      <c r="J128" s="334" t="s">
        <v>607</v>
      </c>
    </row>
    <row r="129" spans="1:10" ht="30.75" x14ac:dyDescent="0.25">
      <c r="A129" s="334" t="s">
        <v>917</v>
      </c>
      <c r="B129" s="333" t="s">
        <v>918</v>
      </c>
      <c r="C129" s="334" t="s">
        <v>919</v>
      </c>
      <c r="D129" s="315">
        <v>197755.46</v>
      </c>
      <c r="E129" s="315">
        <f>Tabel_A1_AD[[#This Row],[Valoare estimata 
- lei fără TVA -]]*1.19</f>
        <v>235328.99739999999</v>
      </c>
      <c r="F129" s="335" t="s">
        <v>881</v>
      </c>
      <c r="G129" s="335" t="s">
        <v>920</v>
      </c>
      <c r="H129" s="334"/>
      <c r="I129" s="334" t="s">
        <v>150</v>
      </c>
      <c r="J129" s="334" t="s">
        <v>944</v>
      </c>
    </row>
    <row r="130" spans="1:10" ht="61.5" x14ac:dyDescent="0.25">
      <c r="A130" s="334" t="s">
        <v>921</v>
      </c>
      <c r="B130" s="333" t="s">
        <v>922</v>
      </c>
      <c r="C130" s="334" t="s">
        <v>713</v>
      </c>
      <c r="D130" s="315">
        <v>630</v>
      </c>
      <c r="E130" s="315">
        <f>Tabel_A1_AD[[#This Row],[Valoare estimata 
- lei fără TVA -]]*1.19</f>
        <v>749.69999999999993</v>
      </c>
      <c r="F130" s="335" t="s">
        <v>923</v>
      </c>
      <c r="G130" s="335" t="s">
        <v>909</v>
      </c>
      <c r="H130" s="334"/>
      <c r="I130" s="334" t="s">
        <v>150</v>
      </c>
      <c r="J130" s="334" t="s">
        <v>607</v>
      </c>
    </row>
    <row r="131" spans="1:10" ht="61.5" x14ac:dyDescent="0.25">
      <c r="A131" s="334" t="s">
        <v>924</v>
      </c>
      <c r="B131" s="333" t="s">
        <v>694</v>
      </c>
      <c r="C131" s="334" t="s">
        <v>695</v>
      </c>
      <c r="D131" s="315">
        <v>840.34</v>
      </c>
      <c r="E131" s="315">
        <f>Tabel_A1_AD[[#This Row],[Valoare estimata 
- lei fără TVA -]]*1.19</f>
        <v>1000.0046</v>
      </c>
      <c r="F131" s="335" t="s">
        <v>923</v>
      </c>
      <c r="G131" s="335" t="s">
        <v>909</v>
      </c>
      <c r="H131" s="334"/>
      <c r="I131" s="334" t="s">
        <v>151</v>
      </c>
      <c r="J131" s="334" t="s">
        <v>607</v>
      </c>
    </row>
    <row r="132" spans="1:10" ht="61.5" x14ac:dyDescent="0.25">
      <c r="A132" s="334" t="s">
        <v>925</v>
      </c>
      <c r="B132" s="333" t="s">
        <v>926</v>
      </c>
      <c r="C132" s="334" t="s">
        <v>927</v>
      </c>
      <c r="D132" s="315">
        <v>3215</v>
      </c>
      <c r="E132" s="315">
        <f>Tabel_A1_AD[[#This Row],[Valoare estimata 
- lei fără TVA -]]*1.19</f>
        <v>3825.85</v>
      </c>
      <c r="F132" s="335" t="s">
        <v>923</v>
      </c>
      <c r="G132" s="335" t="s">
        <v>909</v>
      </c>
      <c r="H132" s="334"/>
      <c r="I132" s="334" t="s">
        <v>150</v>
      </c>
      <c r="J132" s="334" t="s">
        <v>607</v>
      </c>
    </row>
    <row r="133" spans="1:10" ht="61.5" x14ac:dyDescent="0.25">
      <c r="A133" s="334" t="s">
        <v>928</v>
      </c>
      <c r="B133" s="333" t="s">
        <v>929</v>
      </c>
      <c r="C133" s="334" t="s">
        <v>695</v>
      </c>
      <c r="D133" s="315">
        <v>10504.2</v>
      </c>
      <c r="E133" s="315">
        <f>Tabel_A1_AD[[#This Row],[Valoare estimata 
- lei fără TVA -]]*1.19</f>
        <v>12499.998</v>
      </c>
      <c r="F133" s="335" t="s">
        <v>872</v>
      </c>
      <c r="G133" s="335" t="s">
        <v>909</v>
      </c>
      <c r="H133" s="334"/>
      <c r="I133" s="334" t="s">
        <v>151</v>
      </c>
      <c r="J133" s="334" t="s">
        <v>607</v>
      </c>
    </row>
    <row r="134" spans="1:10" ht="123" x14ac:dyDescent="0.25">
      <c r="A134" s="334" t="s">
        <v>930</v>
      </c>
      <c r="B134" s="333" t="s">
        <v>931</v>
      </c>
      <c r="C134" s="334" t="s">
        <v>932</v>
      </c>
      <c r="D134" s="315">
        <v>229449.58</v>
      </c>
      <c r="E134" s="315">
        <f>Tabel_A1_AD[[#This Row],[Valoare estimata 
- lei fără TVA -]]*1.19</f>
        <v>273045.00019999995</v>
      </c>
      <c r="F134" s="335" t="s">
        <v>872</v>
      </c>
      <c r="G134" s="335" t="s">
        <v>933</v>
      </c>
      <c r="H134" s="334"/>
      <c r="I134" s="334" t="s">
        <v>150</v>
      </c>
      <c r="J134" s="334" t="s">
        <v>607</v>
      </c>
    </row>
    <row r="135" spans="1:10" ht="61.5" x14ac:dyDescent="0.25">
      <c r="A135" s="334" t="s">
        <v>934</v>
      </c>
      <c r="B135" s="333" t="s">
        <v>935</v>
      </c>
      <c r="C135" s="334" t="s">
        <v>936</v>
      </c>
      <c r="D135" s="315">
        <v>210.08</v>
      </c>
      <c r="E135" s="315">
        <f>Tabel_A1_AD[[#This Row],[Valoare estimata 
- lei fără TVA -]]*1.19</f>
        <v>249.99520000000001</v>
      </c>
      <c r="F135" s="335" t="s">
        <v>937</v>
      </c>
      <c r="G135" s="335" t="s">
        <v>909</v>
      </c>
      <c r="H135" s="334"/>
      <c r="I135" s="334" t="s">
        <v>151</v>
      </c>
      <c r="J135" s="334" t="s">
        <v>607</v>
      </c>
    </row>
    <row r="136" spans="1:10" ht="61.5" x14ac:dyDescent="0.25">
      <c r="A136" s="334" t="s">
        <v>938</v>
      </c>
      <c r="B136" s="333" t="s">
        <v>939</v>
      </c>
      <c r="C136" s="334" t="s">
        <v>615</v>
      </c>
      <c r="D136" s="315">
        <v>117.65</v>
      </c>
      <c r="E136" s="315">
        <f>Tabel_A1_AD[[#This Row],[Valoare estimata 
- lei fără TVA -]]*1.19</f>
        <v>140.0035</v>
      </c>
      <c r="F136" s="335" t="s">
        <v>937</v>
      </c>
      <c r="G136" s="335" t="s">
        <v>940</v>
      </c>
      <c r="H136" s="334"/>
      <c r="I136" s="334" t="s">
        <v>151</v>
      </c>
      <c r="J136" s="334" t="s">
        <v>607</v>
      </c>
    </row>
    <row r="137" spans="1:10" ht="30.75" x14ac:dyDescent="0.25">
      <c r="A137" s="334" t="s">
        <v>941</v>
      </c>
      <c r="B137" s="333" t="s">
        <v>702</v>
      </c>
      <c r="C137" s="334" t="s">
        <v>703</v>
      </c>
      <c r="D137" s="315">
        <v>2162.0700000000002</v>
      </c>
      <c r="E137" s="315">
        <f>Tabel_A1_AD[[#This Row],[Valoare estimata 
- lei fără TVA -]]*1.19</f>
        <v>2572.8633</v>
      </c>
      <c r="F137" s="335" t="s">
        <v>942</v>
      </c>
      <c r="G137" s="335" t="s">
        <v>943</v>
      </c>
      <c r="H137" s="334"/>
      <c r="I137" s="334" t="s">
        <v>150</v>
      </c>
      <c r="J137" s="334" t="s">
        <v>944</v>
      </c>
    </row>
    <row r="138" spans="1:10" ht="61.5" x14ac:dyDescent="0.25">
      <c r="A138" s="334" t="s">
        <v>945</v>
      </c>
      <c r="B138" s="333" t="s">
        <v>741</v>
      </c>
      <c r="C138" s="334" t="s">
        <v>742</v>
      </c>
      <c r="D138" s="315">
        <v>56438.05</v>
      </c>
      <c r="E138" s="315">
        <f>Tabel_A1_AD[[#This Row],[Valoare estimata 
- lei fără TVA -]]*1.19</f>
        <v>67161.279500000004</v>
      </c>
      <c r="F138" s="335" t="s">
        <v>946</v>
      </c>
      <c r="G138" s="335" t="s">
        <v>909</v>
      </c>
      <c r="H138" s="334"/>
      <c r="I138" s="334" t="s">
        <v>150</v>
      </c>
      <c r="J138" s="334" t="s">
        <v>607</v>
      </c>
    </row>
    <row r="139" spans="1:10" ht="30.75" x14ac:dyDescent="0.25">
      <c r="A139" s="352"/>
      <c r="B139" s="353"/>
      <c r="C139" s="352"/>
      <c r="D139" s="354"/>
      <c r="E139" s="354"/>
      <c r="F139" s="355"/>
      <c r="G139" s="355"/>
      <c r="H139" s="352"/>
      <c r="I139" s="352"/>
      <c r="J139" s="352"/>
    </row>
    <row r="140" spans="1:10" ht="30.75" x14ac:dyDescent="0.45">
      <c r="B140" s="336"/>
      <c r="C140" s="336"/>
      <c r="D140" s="336"/>
      <c r="E140" s="338"/>
      <c r="F140" s="338"/>
      <c r="G140" s="338"/>
      <c r="H140" s="336"/>
      <c r="I140" s="336"/>
      <c r="J140" s="337"/>
    </row>
    <row r="141" spans="1:10" ht="26.25" x14ac:dyDescent="0.4">
      <c r="B141" s="367"/>
      <c r="C141" s="367"/>
      <c r="D141" s="367"/>
      <c r="E141" s="341"/>
      <c r="F141" s="59"/>
      <c r="G141" s="59"/>
      <c r="H141" s="59"/>
      <c r="I141" s="340"/>
      <c r="J141" s="340"/>
    </row>
    <row r="142" spans="1:10" ht="26.25" x14ac:dyDescent="0.4">
      <c r="B142" s="367"/>
      <c r="C142" s="367"/>
      <c r="D142" s="367"/>
      <c r="E142" s="341"/>
      <c r="F142" s="59"/>
      <c r="G142" s="59"/>
      <c r="H142" s="59"/>
      <c r="I142" s="340"/>
      <c r="J142" s="340"/>
    </row>
    <row r="143" spans="1:10" x14ac:dyDescent="0.25">
      <c r="B143" s="61"/>
      <c r="C143" s="59"/>
      <c r="D143" s="59"/>
      <c r="E143" s="341"/>
      <c r="F143" s="59"/>
      <c r="G143" s="59"/>
      <c r="H143" s="59"/>
      <c r="I143" s="340"/>
      <c r="J143" s="340"/>
    </row>
    <row r="144" spans="1:10" x14ac:dyDescent="0.25">
      <c r="B144" s="61"/>
      <c r="C144" s="59"/>
      <c r="D144" s="59"/>
      <c r="F144" s="54"/>
      <c r="G144" s="54"/>
      <c r="H144" s="54"/>
      <c r="I144" s="54"/>
      <c r="J144" s="54"/>
    </row>
    <row r="145" spans="2:10" x14ac:dyDescent="0.25">
      <c r="B145" s="61"/>
      <c r="C145" s="59"/>
      <c r="D145" s="59"/>
      <c r="F145" s="54"/>
      <c r="G145" s="54"/>
      <c r="H145" s="54"/>
      <c r="I145" s="54"/>
      <c r="J145" s="54"/>
    </row>
    <row r="146" spans="2:10" x14ac:dyDescent="0.25">
      <c r="B146" s="61"/>
      <c r="C146" s="59"/>
      <c r="D146" s="59"/>
      <c r="F146" s="54"/>
      <c r="G146" s="54"/>
      <c r="H146" s="54"/>
      <c r="I146" s="54"/>
      <c r="J146" s="54"/>
    </row>
    <row r="147" spans="2:10" x14ac:dyDescent="0.25">
      <c r="B147" s="54"/>
      <c r="C147" s="54"/>
      <c r="D147" s="54"/>
      <c r="F147" s="54"/>
      <c r="G147" s="54"/>
      <c r="H147" s="54"/>
      <c r="I147" s="54"/>
      <c r="J147" s="54"/>
    </row>
    <row r="148" spans="2:10" x14ac:dyDescent="0.25">
      <c r="B148" s="54"/>
      <c r="C148" s="54"/>
      <c r="D148" s="54"/>
      <c r="F148" s="54"/>
      <c r="G148" s="54"/>
      <c r="H148" s="54"/>
      <c r="I148" s="54"/>
      <c r="J148" s="54"/>
    </row>
    <row r="149" spans="2:10" x14ac:dyDescent="0.25">
      <c r="B149" s="54"/>
      <c r="C149" s="54"/>
      <c r="D149" s="54"/>
      <c r="F149" s="54"/>
      <c r="G149" s="54"/>
      <c r="H149" s="54"/>
      <c r="I149" s="54"/>
      <c r="J149" s="54"/>
    </row>
    <row r="150" spans="2:10" x14ac:dyDescent="0.25">
      <c r="B150" s="54"/>
      <c r="C150" s="54"/>
      <c r="D150" s="54"/>
      <c r="F150" s="54"/>
      <c r="G150" s="54"/>
      <c r="H150" s="54"/>
      <c r="I150" s="54"/>
      <c r="J150" s="54"/>
    </row>
    <row r="151" spans="2:10" x14ac:dyDescent="0.25">
      <c r="B151" s="54"/>
      <c r="C151" s="54"/>
      <c r="D151" s="54"/>
      <c r="F151" s="54"/>
      <c r="G151" s="54"/>
      <c r="H151" s="54"/>
      <c r="I151" s="54"/>
      <c r="J151" s="54"/>
    </row>
    <row r="152" spans="2:10" x14ac:dyDescent="0.25">
      <c r="B152" s="54"/>
      <c r="C152" s="54"/>
      <c r="D152" s="54"/>
      <c r="F152" s="54"/>
      <c r="G152" s="54"/>
      <c r="H152" s="54"/>
      <c r="I152" s="54"/>
      <c r="J152" s="54"/>
    </row>
    <row r="153" spans="2:10" x14ac:dyDescent="0.25">
      <c r="B153" s="54"/>
      <c r="C153" s="54"/>
      <c r="D153" s="54"/>
      <c r="F153" s="54"/>
      <c r="G153" s="54"/>
      <c r="H153" s="54"/>
      <c r="I153" s="54"/>
      <c r="J153" s="54"/>
    </row>
    <row r="154" spans="2:10" x14ac:dyDescent="0.25">
      <c r="B154" s="54"/>
      <c r="C154" s="54"/>
      <c r="D154" s="54"/>
    </row>
    <row r="155" spans="2:10" x14ac:dyDescent="0.25">
      <c r="B155" s="54"/>
      <c r="C155" s="54"/>
      <c r="D155" s="54"/>
    </row>
    <row r="156" spans="2:10" x14ac:dyDescent="0.25">
      <c r="B156" s="54"/>
      <c r="C156" s="54"/>
      <c r="D156" s="54"/>
    </row>
  </sheetData>
  <sheetProtection sort="0" autoFilter="0" pivotTables="0"/>
  <dataConsolidate/>
  <mergeCells count="6">
    <mergeCell ref="B142:D142"/>
    <mergeCell ref="I1:J1"/>
    <mergeCell ref="A4:J4"/>
    <mergeCell ref="A5:J5"/>
    <mergeCell ref="A3:J3"/>
    <mergeCell ref="B141:D141"/>
  </mergeCells>
  <dataValidations count="3">
    <dataValidation type="list" allowBlank="1" showInputMessage="1" showErrorMessage="1" sqref="H27" xr:uid="{C56FB52C-5784-4352-A0D6-46870DBA636F}">
      <formula1>responsabil_achiz</formula1>
    </dataValidation>
    <dataValidation type="list" allowBlank="1" showInputMessage="1" showErrorMessage="1" sqref="H22:H26 H8:H20" xr:uid="{D3942DF4-77BC-492B-AFDE-7AA3999586C6}">
      <formula1>tip_procedura</formula1>
    </dataValidation>
    <dataValidation type="list" allowBlank="1" showInputMessage="1" showErrorMessage="1" sqref="I8:I139" xr:uid="{F79FD0AB-7469-413D-8697-A95F3FC036D0}">
      <formula1>mod_derulare</formula1>
    </dataValidation>
  </dataValidations>
  <pageMargins left="0.25" right="0.45" top="0.75" bottom="0.75" header="0.3" footer="0.3"/>
  <pageSetup paperSize="9" scale="21" fitToHeight="4" orientation="landscape" r:id="rId1"/>
  <headerFooter>
    <oddFooter>&amp;R&amp;20Pag. &amp;P/&amp;N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34"/>
  <sheetViews>
    <sheetView view="pageBreakPreview" zoomScale="40" zoomScaleNormal="30" zoomScaleSheetLayoutView="40" workbookViewId="0">
      <pane xSplit="2" ySplit="8" topLeftCell="C9" activePane="bottomRight" state="frozen"/>
      <selection pane="topRight" activeCell="C1" sqref="C1"/>
      <selection pane="bottomLeft" activeCell="A9" sqref="A9"/>
      <selection pane="bottomRight" activeCell="M14" sqref="M14"/>
    </sheetView>
  </sheetViews>
  <sheetFormatPr defaultColWidth="9.140625" defaultRowHeight="15" x14ac:dyDescent="0.25"/>
  <cols>
    <col min="1" max="1" width="32.85546875" style="15" customWidth="1"/>
    <col min="2" max="2" width="72.42578125" style="15" customWidth="1"/>
    <col min="3" max="3" width="27.7109375" style="15" customWidth="1"/>
    <col min="4" max="4" width="32.42578125" style="15" customWidth="1"/>
    <col min="5" max="5" width="32.5703125" style="15" customWidth="1"/>
    <col min="6" max="6" width="35.5703125" style="15" customWidth="1"/>
    <col min="7" max="7" width="27" style="15" customWidth="1"/>
    <col min="8" max="8" width="28" style="15" customWidth="1"/>
    <col min="9" max="9" width="39.7109375" style="15" customWidth="1"/>
    <col min="10" max="10" width="25.85546875" style="15" customWidth="1"/>
    <col min="11" max="11" width="34.42578125" style="15" customWidth="1"/>
    <col min="12" max="12" width="38.28515625" style="15" customWidth="1"/>
    <col min="13" max="13" width="86.28515625" style="15" customWidth="1"/>
    <col min="14" max="16384" width="9.140625" style="15"/>
  </cols>
  <sheetData>
    <row r="1" spans="1:13" ht="36" x14ac:dyDescent="0.3">
      <c r="A1" s="200"/>
      <c r="B1" s="201" t="s">
        <v>431</v>
      </c>
      <c r="C1" s="202"/>
      <c r="D1" s="200"/>
      <c r="E1" s="200"/>
      <c r="F1" s="200"/>
      <c r="G1" s="200"/>
      <c r="H1" s="200"/>
      <c r="I1" s="376" t="s">
        <v>121</v>
      </c>
      <c r="J1" s="376"/>
      <c r="K1" s="376"/>
      <c r="L1" s="376"/>
      <c r="M1" s="376"/>
    </row>
    <row r="2" spans="1:13" ht="30.75" x14ac:dyDescent="0.3">
      <c r="A2" s="200"/>
      <c r="B2" s="203"/>
      <c r="C2" s="200"/>
      <c r="D2" s="200"/>
      <c r="E2" s="200"/>
      <c r="F2" s="200"/>
      <c r="G2" s="200"/>
      <c r="H2" s="200"/>
      <c r="I2" s="376" t="s">
        <v>122</v>
      </c>
      <c r="J2" s="376"/>
      <c r="K2" s="376"/>
      <c r="L2" s="376"/>
      <c r="M2" s="376"/>
    </row>
    <row r="3" spans="1:13" ht="85.5" customHeight="1" x14ac:dyDescent="0.3">
      <c r="A3" s="200"/>
      <c r="B3" s="203"/>
      <c r="C3" s="200"/>
      <c r="D3" s="200"/>
      <c r="E3" s="200"/>
      <c r="F3" s="200"/>
      <c r="G3" s="200"/>
      <c r="H3" s="200"/>
      <c r="I3" s="378" t="s">
        <v>536</v>
      </c>
      <c r="J3" s="379"/>
      <c r="K3" s="379"/>
      <c r="L3" s="379"/>
      <c r="M3" s="379"/>
    </row>
    <row r="4" spans="1:13" ht="167.25" customHeight="1" x14ac:dyDescent="0.3">
      <c r="A4" s="200"/>
      <c r="B4" s="203"/>
      <c r="C4" s="380" t="s">
        <v>537</v>
      </c>
      <c r="D4" s="380"/>
      <c r="E4" s="200"/>
      <c r="F4" s="200"/>
      <c r="G4" s="200"/>
      <c r="H4" s="200"/>
      <c r="I4" s="379"/>
      <c r="J4" s="379"/>
      <c r="K4" s="379"/>
      <c r="L4" s="379"/>
      <c r="M4" s="379"/>
    </row>
    <row r="5" spans="1:13" ht="26.25" customHeight="1" x14ac:dyDescent="0.25">
      <c r="A5" s="377" t="s">
        <v>564</v>
      </c>
      <c r="B5" s="377"/>
      <c r="C5" s="377"/>
      <c r="D5" s="377"/>
      <c r="E5" s="377"/>
      <c r="F5" s="377"/>
      <c r="G5" s="377"/>
      <c r="H5" s="377"/>
      <c r="I5" s="377"/>
      <c r="J5" s="377"/>
      <c r="K5" s="377"/>
      <c r="L5" s="377"/>
      <c r="M5" s="377"/>
    </row>
    <row r="6" spans="1:13" ht="30" customHeight="1" x14ac:dyDescent="0.25">
      <c r="A6" s="377" t="s">
        <v>124</v>
      </c>
      <c r="B6" s="377"/>
      <c r="C6" s="377"/>
      <c r="D6" s="377"/>
      <c r="E6" s="377"/>
      <c r="F6" s="377"/>
      <c r="G6" s="377"/>
      <c r="H6" s="377"/>
      <c r="I6" s="377"/>
      <c r="J6" s="377"/>
      <c r="K6" s="377"/>
      <c r="L6" s="377"/>
      <c r="M6" s="377"/>
    </row>
    <row r="7" spans="1:13" ht="16.5" x14ac:dyDescent="0.3">
      <c r="A7" s="204"/>
      <c r="B7" s="204"/>
      <c r="C7" s="204"/>
      <c r="D7" s="204"/>
      <c r="E7" s="204"/>
      <c r="F7" s="204"/>
      <c r="G7" s="204"/>
      <c r="H7" s="204"/>
      <c r="I7" s="204"/>
      <c r="J7" s="204"/>
      <c r="K7" s="204"/>
      <c r="L7" s="204"/>
      <c r="M7" s="204"/>
    </row>
    <row r="8" spans="1:13" ht="84" customHeight="1" x14ac:dyDescent="0.25">
      <c r="A8" s="250" t="s">
        <v>0</v>
      </c>
      <c r="B8" s="251" t="s">
        <v>1</v>
      </c>
      <c r="C8" s="251" t="s">
        <v>2</v>
      </c>
      <c r="D8" s="252" t="s">
        <v>412</v>
      </c>
      <c r="E8" s="252" t="s">
        <v>430</v>
      </c>
      <c r="F8" s="252" t="s">
        <v>411</v>
      </c>
      <c r="G8" s="251" t="s">
        <v>4</v>
      </c>
      <c r="H8" s="251" t="s">
        <v>5</v>
      </c>
      <c r="I8" s="251" t="s">
        <v>6</v>
      </c>
      <c r="J8" s="251" t="s">
        <v>152</v>
      </c>
      <c r="K8" s="251" t="s">
        <v>7</v>
      </c>
      <c r="L8" s="251" t="s">
        <v>8</v>
      </c>
      <c r="M8" s="253" t="s">
        <v>9</v>
      </c>
    </row>
    <row r="9" spans="1:13" ht="216" customHeight="1" x14ac:dyDescent="0.25">
      <c r="A9" s="279" t="s">
        <v>535</v>
      </c>
      <c r="B9" s="280" t="s">
        <v>539</v>
      </c>
      <c r="C9" s="279" t="s">
        <v>540</v>
      </c>
      <c r="D9" s="320">
        <v>0</v>
      </c>
      <c r="E9" s="321"/>
      <c r="F9" s="322"/>
      <c r="G9" s="283">
        <v>45251</v>
      </c>
      <c r="H9" s="283">
        <v>45366</v>
      </c>
      <c r="I9" s="323" t="s">
        <v>541</v>
      </c>
      <c r="J9" s="279" t="s">
        <v>151</v>
      </c>
      <c r="K9" s="279" t="s">
        <v>422</v>
      </c>
      <c r="L9" s="279" t="s">
        <v>201</v>
      </c>
      <c r="M9" s="280" t="s">
        <v>559</v>
      </c>
    </row>
    <row r="10" spans="1:13" ht="117.6" customHeight="1" x14ac:dyDescent="0.25">
      <c r="A10" s="279" t="s">
        <v>542</v>
      </c>
      <c r="B10" s="280" t="s">
        <v>543</v>
      </c>
      <c r="C10" s="279" t="s">
        <v>540</v>
      </c>
      <c r="D10" s="281">
        <v>0</v>
      </c>
      <c r="E10" s="298"/>
      <c r="F10" s="322"/>
      <c r="G10" s="283">
        <v>45251</v>
      </c>
      <c r="H10" s="283">
        <v>45366</v>
      </c>
      <c r="I10" s="323" t="s">
        <v>541</v>
      </c>
      <c r="J10" s="279" t="s">
        <v>151</v>
      </c>
      <c r="K10" s="279" t="s">
        <v>422</v>
      </c>
      <c r="L10" s="279" t="s">
        <v>201</v>
      </c>
      <c r="M10" s="280" t="s">
        <v>559</v>
      </c>
    </row>
    <row r="11" spans="1:13" s="25" customFormat="1" ht="145.5" customHeight="1" x14ac:dyDescent="0.25">
      <c r="A11" s="243" t="s">
        <v>545</v>
      </c>
      <c r="B11" s="246" t="s">
        <v>546</v>
      </c>
      <c r="C11" s="243" t="s">
        <v>544</v>
      </c>
      <c r="D11" s="244">
        <v>920000</v>
      </c>
      <c r="E11" s="263"/>
      <c r="F11" s="264"/>
      <c r="G11" s="245">
        <v>45294</v>
      </c>
      <c r="H11" s="245">
        <v>45471</v>
      </c>
      <c r="I11" s="243" t="s">
        <v>52</v>
      </c>
      <c r="J11" s="243" t="s">
        <v>150</v>
      </c>
      <c r="K11" s="243" t="s">
        <v>425</v>
      </c>
      <c r="L11" s="243" t="s">
        <v>200</v>
      </c>
      <c r="M11" s="246" t="s">
        <v>550</v>
      </c>
    </row>
    <row r="12" spans="1:13" s="25" customFormat="1" ht="139.5" customHeight="1" x14ac:dyDescent="0.25">
      <c r="A12" s="243" t="s">
        <v>547</v>
      </c>
      <c r="B12" s="246" t="s">
        <v>548</v>
      </c>
      <c r="C12" s="243" t="s">
        <v>549</v>
      </c>
      <c r="D12" s="244">
        <v>459500</v>
      </c>
      <c r="E12" s="263"/>
      <c r="F12" s="264"/>
      <c r="G12" s="245">
        <v>45323</v>
      </c>
      <c r="H12" s="245">
        <v>45351</v>
      </c>
      <c r="I12" s="323" t="s">
        <v>541</v>
      </c>
      <c r="J12" s="243" t="s">
        <v>150</v>
      </c>
      <c r="K12" s="243" t="s">
        <v>424</v>
      </c>
      <c r="L12" s="243" t="s">
        <v>200</v>
      </c>
      <c r="M12" s="246" t="s">
        <v>551</v>
      </c>
    </row>
    <row r="13" spans="1:13" s="25" customFormat="1" ht="139.5" customHeight="1" x14ac:dyDescent="0.45">
      <c r="A13" s="316" t="s">
        <v>552</v>
      </c>
      <c r="B13" s="314" t="s">
        <v>553</v>
      </c>
      <c r="C13" s="316" t="s">
        <v>554</v>
      </c>
      <c r="D13" s="313">
        <v>31718.400000000001</v>
      </c>
      <c r="E13" s="317"/>
      <c r="F13" s="318"/>
      <c r="G13" s="319">
        <v>45313</v>
      </c>
      <c r="H13" s="319">
        <v>45351</v>
      </c>
      <c r="I13" s="323" t="s">
        <v>541</v>
      </c>
      <c r="J13" s="316" t="s">
        <v>150</v>
      </c>
      <c r="K13" s="316" t="s">
        <v>425</v>
      </c>
      <c r="L13" s="316" t="s">
        <v>200</v>
      </c>
      <c r="M13" s="314" t="s">
        <v>555</v>
      </c>
    </row>
    <row r="14" spans="1:13" s="25" customFormat="1" ht="409.5" x14ac:dyDescent="0.25">
      <c r="A14" s="243" t="s">
        <v>556</v>
      </c>
      <c r="B14" s="246" t="s">
        <v>557</v>
      </c>
      <c r="C14" s="243" t="s">
        <v>540</v>
      </c>
      <c r="D14" s="244">
        <v>0.02</v>
      </c>
      <c r="E14" s="263"/>
      <c r="F14" s="264"/>
      <c r="G14" s="319">
        <v>45306</v>
      </c>
      <c r="H14" s="319">
        <v>45351</v>
      </c>
      <c r="I14" s="323" t="s">
        <v>541</v>
      </c>
      <c r="J14" s="243" t="s">
        <v>150</v>
      </c>
      <c r="K14" s="243" t="s">
        <v>424</v>
      </c>
      <c r="L14" s="243" t="s">
        <v>200</v>
      </c>
      <c r="M14" s="280" t="s">
        <v>558</v>
      </c>
    </row>
    <row r="15" spans="1:13" s="204" customFormat="1" ht="36" customHeight="1" x14ac:dyDescent="0.3"/>
    <row r="16" spans="1:13" s="204" customFormat="1" ht="108" customHeight="1" x14ac:dyDescent="0.3">
      <c r="A16" s="205"/>
      <c r="B16" s="372" t="s">
        <v>146</v>
      </c>
      <c r="C16" s="372"/>
      <c r="D16" s="372"/>
      <c r="E16" s="309"/>
      <c r="F16" s="309"/>
      <c r="G16" s="206"/>
      <c r="H16" s="206"/>
      <c r="I16" s="254"/>
      <c r="J16" s="254"/>
      <c r="K16" s="372" t="s">
        <v>117</v>
      </c>
      <c r="L16" s="372"/>
      <c r="M16" s="372"/>
    </row>
    <row r="17" spans="1:13" s="204" customFormat="1" ht="28.5" customHeight="1" x14ac:dyDescent="0.3">
      <c r="A17" s="205"/>
      <c r="B17" s="372" t="s">
        <v>432</v>
      </c>
      <c r="C17" s="372"/>
      <c r="D17" s="372"/>
      <c r="E17" s="309"/>
      <c r="F17" s="309"/>
      <c r="G17" s="206"/>
      <c r="H17" s="206"/>
      <c r="I17" s="254"/>
      <c r="J17" s="254"/>
      <c r="K17" s="372" t="s">
        <v>416</v>
      </c>
      <c r="L17" s="372"/>
      <c r="M17" s="372"/>
    </row>
    <row r="18" spans="1:13" s="204" customFormat="1" ht="28.5" customHeight="1" x14ac:dyDescent="0.45">
      <c r="A18" s="207"/>
      <c r="B18" s="372" t="s">
        <v>433</v>
      </c>
      <c r="C18" s="372"/>
      <c r="D18" s="372"/>
      <c r="E18" s="309"/>
      <c r="F18" s="309"/>
      <c r="G18" s="206"/>
      <c r="H18" s="206"/>
      <c r="I18" s="254"/>
      <c r="J18" s="254"/>
      <c r="K18" s="372" t="s">
        <v>429</v>
      </c>
      <c r="L18" s="372"/>
      <c r="M18" s="372"/>
    </row>
    <row r="19" spans="1:13" s="204" customFormat="1" ht="30.75" x14ac:dyDescent="0.45">
      <c r="A19" s="207"/>
      <c r="B19" s="308"/>
      <c r="C19" s="308"/>
      <c r="D19" s="308"/>
      <c r="E19" s="309"/>
      <c r="F19" s="309"/>
      <c r="G19" s="206"/>
      <c r="H19" s="206"/>
      <c r="I19" s="254"/>
      <c r="J19" s="254"/>
      <c r="K19" s="308"/>
      <c r="L19" s="308"/>
      <c r="M19" s="308"/>
    </row>
    <row r="20" spans="1:13" s="204" customFormat="1" ht="32.25" customHeight="1" x14ac:dyDescent="0.45">
      <c r="A20" s="207"/>
      <c r="B20" s="372" t="s">
        <v>415</v>
      </c>
      <c r="C20" s="372"/>
      <c r="D20" s="372"/>
      <c r="E20" s="309"/>
      <c r="F20" s="309"/>
      <c r="G20" s="206"/>
      <c r="H20" s="206"/>
      <c r="I20" s="254"/>
      <c r="J20" s="254"/>
      <c r="K20" s="372"/>
      <c r="L20" s="372"/>
      <c r="M20" s="372"/>
    </row>
    <row r="21" spans="1:13" s="204" customFormat="1" ht="32.25" customHeight="1" x14ac:dyDescent="0.45">
      <c r="A21" s="207"/>
      <c r="B21" s="374" t="s">
        <v>456</v>
      </c>
      <c r="C21" s="374"/>
      <c r="D21" s="374"/>
      <c r="E21" s="309"/>
      <c r="F21" s="309"/>
      <c r="G21" s="206"/>
      <c r="H21" s="206"/>
      <c r="I21" s="254"/>
      <c r="J21" s="254"/>
      <c r="K21" s="374"/>
      <c r="L21" s="374"/>
      <c r="M21" s="374"/>
    </row>
    <row r="22" spans="1:13" s="204" customFormat="1" ht="31.5" customHeight="1" x14ac:dyDescent="0.45">
      <c r="A22" s="207"/>
      <c r="B22" s="310"/>
      <c r="C22" s="310"/>
      <c r="D22" s="310"/>
      <c r="E22" s="309"/>
      <c r="F22" s="309"/>
      <c r="G22" s="206"/>
      <c r="H22" s="206"/>
      <c r="I22" s="254"/>
      <c r="J22" s="254"/>
      <c r="K22" s="310"/>
      <c r="L22" s="310"/>
      <c r="M22" s="311"/>
    </row>
    <row r="23" spans="1:13" s="204" customFormat="1" ht="46.5" customHeight="1" x14ac:dyDescent="0.45">
      <c r="A23" s="207"/>
      <c r="B23" s="372" t="s">
        <v>155</v>
      </c>
      <c r="C23" s="372"/>
      <c r="D23" s="372"/>
      <c r="E23" s="309"/>
      <c r="F23" s="309"/>
      <c r="G23" s="206"/>
      <c r="H23" s="206"/>
      <c r="I23" s="254"/>
      <c r="J23" s="254"/>
      <c r="K23" s="372" t="s">
        <v>155</v>
      </c>
      <c r="L23" s="372"/>
      <c r="M23" s="372"/>
    </row>
    <row r="24" spans="1:13" ht="31.5" x14ac:dyDescent="0.5">
      <c r="A24" s="162"/>
      <c r="B24" s="372" t="s">
        <v>457</v>
      </c>
      <c r="C24" s="372"/>
      <c r="D24" s="372"/>
      <c r="E24" s="309"/>
      <c r="F24" s="309"/>
      <c r="G24" s="309"/>
      <c r="H24" s="309"/>
      <c r="I24" s="308"/>
      <c r="J24" s="308"/>
      <c r="K24" s="370" t="s">
        <v>210</v>
      </c>
      <c r="L24" s="370"/>
      <c r="M24" s="370"/>
    </row>
    <row r="25" spans="1:13" ht="30.75" x14ac:dyDescent="0.45">
      <c r="B25" s="308"/>
      <c r="C25" s="308"/>
      <c r="D25" s="308"/>
      <c r="E25" s="309"/>
      <c r="F25" s="309"/>
      <c r="G25" s="309"/>
      <c r="H25" s="309"/>
      <c r="I25" s="308"/>
      <c r="J25" s="308"/>
      <c r="K25" s="310"/>
      <c r="L25" s="310"/>
      <c r="M25" s="312"/>
    </row>
    <row r="26" spans="1:13" ht="31.5" x14ac:dyDescent="0.5">
      <c r="B26" s="375"/>
      <c r="C26" s="375"/>
      <c r="D26" s="375"/>
      <c r="E26" s="59"/>
      <c r="F26" s="59"/>
      <c r="G26" s="59"/>
      <c r="H26" s="59"/>
      <c r="I26" s="59"/>
      <c r="J26" s="60"/>
      <c r="K26" s="60"/>
      <c r="L26" s="60"/>
      <c r="M26" s="131"/>
    </row>
    <row r="27" spans="1:13" ht="28.5" x14ac:dyDescent="0.25">
      <c r="B27" s="161"/>
      <c r="C27" s="155"/>
      <c r="D27" s="155"/>
      <c r="E27" s="155"/>
      <c r="F27" s="155"/>
      <c r="G27" s="155"/>
      <c r="H27" s="155"/>
      <c r="I27" s="163"/>
      <c r="J27" s="163"/>
      <c r="K27" s="163"/>
      <c r="L27" s="163"/>
      <c r="M27" s="155"/>
    </row>
    <row r="28" spans="1:13" ht="28.5" x14ac:dyDescent="0.45">
      <c r="B28" s="373"/>
      <c r="C28" s="373"/>
      <c r="D28" s="373"/>
      <c r="E28" s="155"/>
      <c r="F28" s="155"/>
      <c r="G28" s="155"/>
      <c r="H28" s="155"/>
      <c r="I28" s="163"/>
      <c r="J28" s="163"/>
      <c r="K28" s="163"/>
      <c r="L28" s="163"/>
      <c r="M28" s="155"/>
    </row>
    <row r="29" spans="1:13" ht="21" x14ac:dyDescent="0.35">
      <c r="B29" s="371"/>
      <c r="C29" s="371"/>
      <c r="D29" s="371"/>
      <c r="E29" s="18"/>
      <c r="F29" s="18"/>
      <c r="G29" s="18"/>
      <c r="H29" s="18"/>
      <c r="I29" s="20"/>
      <c r="J29" s="20"/>
      <c r="K29" s="20"/>
      <c r="L29" s="20"/>
      <c r="M29" s="18"/>
    </row>
    <row r="30" spans="1:13" ht="21" x14ac:dyDescent="0.35">
      <c r="B30" s="371"/>
      <c r="C30" s="371"/>
      <c r="D30" s="371"/>
      <c r="E30" s="18"/>
      <c r="F30" s="18"/>
      <c r="G30" s="18"/>
      <c r="H30" s="18"/>
      <c r="I30" s="20"/>
      <c r="J30" s="20"/>
      <c r="K30" s="20"/>
      <c r="L30" s="20"/>
      <c r="M30" s="18"/>
    </row>
    <row r="31" spans="1:13" x14ac:dyDescent="0.25">
      <c r="B31" s="16"/>
      <c r="C31" s="18"/>
      <c r="D31" s="18"/>
      <c r="E31" s="18"/>
      <c r="F31" s="18"/>
      <c r="G31" s="18"/>
      <c r="H31" s="18"/>
      <c r="I31" s="20"/>
      <c r="J31" s="20"/>
      <c r="K31" s="20"/>
      <c r="L31" s="20"/>
      <c r="M31" s="18"/>
    </row>
    <row r="32" spans="1:13" x14ac:dyDescent="0.25">
      <c r="B32" s="16"/>
      <c r="C32" s="18"/>
      <c r="D32" s="18"/>
      <c r="E32" s="18"/>
      <c r="F32" s="18"/>
      <c r="G32" s="18"/>
      <c r="H32" s="18"/>
      <c r="I32" s="20"/>
      <c r="J32" s="20"/>
      <c r="K32" s="20"/>
      <c r="L32" s="20"/>
      <c r="M32" s="18"/>
    </row>
    <row r="33" spans="2:13" x14ac:dyDescent="0.25">
      <c r="B33" s="16"/>
      <c r="C33" s="18"/>
      <c r="D33" s="18"/>
      <c r="E33" s="18"/>
      <c r="F33" s="18"/>
      <c r="G33" s="18"/>
      <c r="H33" s="18"/>
      <c r="I33" s="20"/>
      <c r="J33" s="20"/>
      <c r="K33" s="20"/>
      <c r="L33" s="20"/>
      <c r="M33" s="18"/>
    </row>
    <row r="34" spans="2:13" x14ac:dyDescent="0.25">
      <c r="B34" s="16"/>
      <c r="C34" s="18"/>
      <c r="D34" s="18"/>
      <c r="E34" s="18"/>
      <c r="F34" s="18"/>
      <c r="G34" s="18"/>
      <c r="H34" s="18"/>
      <c r="I34" s="20"/>
      <c r="J34" s="20"/>
      <c r="K34" s="20"/>
      <c r="L34" s="20"/>
      <c r="M34" s="18"/>
    </row>
  </sheetData>
  <sheetProtection sort="0" autoFilter="0" pivotTables="0"/>
  <mergeCells count="25">
    <mergeCell ref="B23:D23"/>
    <mergeCell ref="I1:M1"/>
    <mergeCell ref="I2:M2"/>
    <mergeCell ref="A5:M5"/>
    <mergeCell ref="A6:M6"/>
    <mergeCell ref="I3:M3"/>
    <mergeCell ref="I4:M4"/>
    <mergeCell ref="C4:D4"/>
    <mergeCell ref="K23:M23"/>
    <mergeCell ref="K24:M24"/>
    <mergeCell ref="B29:D29"/>
    <mergeCell ref="B30:D30"/>
    <mergeCell ref="B16:D16"/>
    <mergeCell ref="K16:M16"/>
    <mergeCell ref="B18:D18"/>
    <mergeCell ref="B28:D28"/>
    <mergeCell ref="K18:M18"/>
    <mergeCell ref="B24:D24"/>
    <mergeCell ref="B21:D21"/>
    <mergeCell ref="B26:D26"/>
    <mergeCell ref="K21:M21"/>
    <mergeCell ref="B17:D17"/>
    <mergeCell ref="K17:M17"/>
    <mergeCell ref="B20:D20"/>
    <mergeCell ref="K20:M20"/>
  </mergeCells>
  <dataValidations count="4">
    <dataValidation type="list" allowBlank="1" showInputMessage="1" showErrorMessage="1" sqref="L9:L14" xr:uid="{00000000-0002-0000-0200-000002000000}">
      <formula1>status_achiz</formula1>
    </dataValidation>
    <dataValidation type="list" allowBlank="1" showInputMessage="1" showErrorMessage="1" sqref="I11" xr:uid="{00000000-0002-0000-0200-000005000000}">
      <formula1>tip_procedura</formula1>
    </dataValidation>
    <dataValidation type="list" allowBlank="1" showInputMessage="1" showErrorMessage="1" sqref="K9:K14" xr:uid="{00000000-0002-0000-0200-000006000000}">
      <formula1>responsabil_achiz</formula1>
    </dataValidation>
    <dataValidation type="list" allowBlank="1" showInputMessage="1" showErrorMessage="1" sqref="J9:J14" xr:uid="{00000000-0002-0000-0200-000007000000}">
      <formula1>mod_derulare</formula1>
    </dataValidation>
  </dataValidations>
  <pageMargins left="0.70866141732283472" right="0.31989583333333332" top="0.74803149606299213" bottom="0.74803149606299213" header="0.31496062992125984" footer="0.31496062992125984"/>
  <pageSetup paperSize="9" scale="21" orientation="landscape" r:id="rId1"/>
  <headerFooter>
    <oddFooter>&amp;R&amp;20Pag. &amp;P/&amp;N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69"/>
  <sheetViews>
    <sheetView topLeftCell="E1" zoomScale="85" zoomScaleNormal="85" workbookViewId="0">
      <selection activeCell="G12" sqref="G12"/>
    </sheetView>
  </sheetViews>
  <sheetFormatPr defaultColWidth="9.140625" defaultRowHeight="15" x14ac:dyDescent="0.25"/>
  <cols>
    <col min="1" max="1" width="18.140625" style="15" customWidth="1"/>
    <col min="2" max="2" width="43.5703125" style="15" customWidth="1"/>
    <col min="3" max="3" width="21.42578125" style="15" customWidth="1"/>
    <col min="4" max="4" width="21.7109375" style="151" customWidth="1"/>
    <col min="5" max="5" width="23.28515625" style="15" customWidth="1"/>
    <col min="6" max="6" width="20" style="15" customWidth="1"/>
    <col min="7" max="7" width="17.7109375" style="15" customWidth="1"/>
    <col min="8" max="8" width="18.42578125" style="15" customWidth="1"/>
    <col min="9" max="10" width="25.85546875" style="15" customWidth="1"/>
    <col min="11" max="11" width="15.85546875" style="15" customWidth="1"/>
    <col min="12" max="12" width="15.7109375" style="15" customWidth="1"/>
    <col min="13" max="13" width="38.85546875" style="15" customWidth="1"/>
    <col min="14" max="14" width="18.140625" style="15" customWidth="1"/>
    <col min="15" max="15" width="15.5703125" style="15" customWidth="1"/>
    <col min="16" max="16" width="19.28515625" style="15" customWidth="1"/>
    <col min="17" max="17" width="17.5703125" style="89" customWidth="1"/>
    <col min="18" max="16384" width="9.140625" style="15"/>
  </cols>
  <sheetData>
    <row r="1" spans="1:17" ht="21" x14ac:dyDescent="0.3">
      <c r="A1" s="48"/>
      <c r="B1" s="53"/>
      <c r="C1" s="50"/>
      <c r="D1" s="138"/>
      <c r="E1" s="48"/>
      <c r="F1" s="48"/>
      <c r="G1" s="48"/>
      <c r="H1" s="48"/>
      <c r="I1" s="386" t="s">
        <v>121</v>
      </c>
      <c r="J1" s="386"/>
      <c r="K1" s="386"/>
      <c r="L1" s="386"/>
      <c r="M1" s="386"/>
    </row>
    <row r="2" spans="1:17" ht="18.75" x14ac:dyDescent="0.3">
      <c r="A2" s="48"/>
      <c r="B2" s="49"/>
      <c r="C2" s="48"/>
      <c r="D2" s="138"/>
      <c r="E2" s="48"/>
      <c r="F2" s="48"/>
      <c r="G2" s="48"/>
      <c r="H2" s="48"/>
      <c r="I2" s="386" t="s">
        <v>122</v>
      </c>
      <c r="J2" s="386"/>
      <c r="K2" s="386"/>
      <c r="L2" s="386"/>
      <c r="M2" s="386"/>
    </row>
    <row r="3" spans="1:17" ht="18.75" x14ac:dyDescent="0.3">
      <c r="A3" s="48"/>
      <c r="B3" s="49"/>
      <c r="C3" s="48"/>
      <c r="D3" s="138"/>
      <c r="E3" s="48"/>
      <c r="F3" s="48"/>
      <c r="G3" s="48"/>
      <c r="H3" s="48"/>
      <c r="I3" s="387" t="s">
        <v>123</v>
      </c>
      <c r="J3" s="387"/>
      <c r="K3" s="387"/>
      <c r="L3" s="387"/>
      <c r="M3" s="387"/>
    </row>
    <row r="4" spans="1:17" ht="18.75" x14ac:dyDescent="0.3">
      <c r="A4" s="388"/>
      <c r="B4" s="388"/>
      <c r="C4" s="388"/>
      <c r="D4" s="388"/>
      <c r="E4" s="388"/>
      <c r="F4" s="388"/>
      <c r="G4" s="388"/>
      <c r="H4" s="388"/>
      <c r="I4" s="388"/>
      <c r="J4" s="388"/>
      <c r="K4" s="388"/>
      <c r="L4" s="388"/>
      <c r="M4" s="388"/>
    </row>
    <row r="5" spans="1:17" ht="18.75" x14ac:dyDescent="0.25">
      <c r="A5" s="386" t="s">
        <v>211</v>
      </c>
      <c r="B5" s="386"/>
      <c r="C5" s="386"/>
      <c r="D5" s="386"/>
      <c r="E5" s="386"/>
      <c r="F5" s="386"/>
      <c r="G5" s="386"/>
      <c r="H5" s="386"/>
      <c r="I5" s="386"/>
      <c r="J5" s="386"/>
      <c r="K5" s="386"/>
      <c r="L5" s="386"/>
      <c r="M5" s="386"/>
    </row>
    <row r="6" spans="1:17" ht="15.75" customHeight="1" x14ac:dyDescent="0.25">
      <c r="A6" s="386" t="s">
        <v>212</v>
      </c>
      <c r="B6" s="386"/>
      <c r="C6" s="386"/>
      <c r="D6" s="386"/>
      <c r="E6" s="386"/>
      <c r="F6" s="386"/>
      <c r="G6" s="386"/>
      <c r="H6" s="386"/>
      <c r="I6" s="386"/>
      <c r="J6" s="386"/>
      <c r="K6" s="386"/>
      <c r="L6" s="386"/>
      <c r="M6" s="386"/>
    </row>
    <row r="8" spans="1:17" ht="56.25" x14ac:dyDescent="0.25">
      <c r="A8" s="29" t="s">
        <v>0</v>
      </c>
      <c r="B8" s="30" t="s">
        <v>1</v>
      </c>
      <c r="C8" s="30" t="s">
        <v>2</v>
      </c>
      <c r="D8" s="139" t="s">
        <v>3</v>
      </c>
      <c r="E8" s="30" t="s">
        <v>402</v>
      </c>
      <c r="F8" s="30" t="s">
        <v>207</v>
      </c>
      <c r="G8" s="30" t="s">
        <v>4</v>
      </c>
      <c r="H8" s="30" t="s">
        <v>5</v>
      </c>
      <c r="I8" s="30" t="s">
        <v>6</v>
      </c>
      <c r="J8" s="30" t="s">
        <v>152</v>
      </c>
      <c r="K8" s="30" t="s">
        <v>7</v>
      </c>
      <c r="L8" s="30" t="s">
        <v>8</v>
      </c>
      <c r="M8" s="30" t="s">
        <v>9</v>
      </c>
      <c r="N8" s="17" t="s">
        <v>10</v>
      </c>
      <c r="O8" s="17" t="s">
        <v>11</v>
      </c>
      <c r="P8" s="17" t="s">
        <v>12</v>
      </c>
      <c r="Q8" s="90" t="s">
        <v>213</v>
      </c>
    </row>
    <row r="9" spans="1:17" ht="31.5" x14ac:dyDescent="0.25">
      <c r="A9" s="65">
        <v>7</v>
      </c>
      <c r="B9" s="64" t="s">
        <v>312</v>
      </c>
      <c r="C9" s="67" t="s">
        <v>306</v>
      </c>
      <c r="D9" s="140">
        <v>34209.75</v>
      </c>
      <c r="E9" s="128"/>
      <c r="F9" s="129"/>
      <c r="G9" s="71">
        <v>43340</v>
      </c>
      <c r="H9" s="71">
        <v>43707</v>
      </c>
      <c r="I9" s="65" t="s">
        <v>173</v>
      </c>
      <c r="J9" s="65"/>
      <c r="K9" s="65" t="s">
        <v>14</v>
      </c>
      <c r="L9" s="65" t="s">
        <v>203</v>
      </c>
      <c r="M9" s="13"/>
      <c r="N9" s="120"/>
      <c r="O9" s="120"/>
      <c r="P9" s="17"/>
      <c r="Q9" s="121"/>
    </row>
    <row r="10" spans="1:17" ht="42" customHeight="1" x14ac:dyDescent="0.25">
      <c r="A10" s="92">
        <v>11</v>
      </c>
      <c r="B10" s="64" t="s">
        <v>311</v>
      </c>
      <c r="C10" s="69" t="s">
        <v>237</v>
      </c>
      <c r="D10" s="135">
        <v>6500</v>
      </c>
      <c r="E10" s="135"/>
      <c r="F10" s="68"/>
      <c r="G10" s="71">
        <v>43676</v>
      </c>
      <c r="H10" s="71">
        <v>43768</v>
      </c>
      <c r="I10" s="65" t="s">
        <v>13</v>
      </c>
      <c r="J10" s="65"/>
      <c r="K10" s="65" t="s">
        <v>14</v>
      </c>
      <c r="L10" s="65" t="s">
        <v>203</v>
      </c>
      <c r="M10" s="100"/>
      <c r="N10" s="8"/>
      <c r="O10" s="8"/>
      <c r="P10" s="26"/>
      <c r="Q10" s="91" t="s">
        <v>240</v>
      </c>
    </row>
    <row r="11" spans="1:17" ht="42" customHeight="1" x14ac:dyDescent="0.25">
      <c r="A11" s="92">
        <v>12</v>
      </c>
      <c r="B11" s="64" t="s">
        <v>230</v>
      </c>
      <c r="C11" s="67" t="s">
        <v>231</v>
      </c>
      <c r="D11" s="135">
        <f>204673.35+7250+88215</f>
        <v>300138.34999999998</v>
      </c>
      <c r="E11" s="135"/>
      <c r="F11" s="68"/>
      <c r="G11" s="99">
        <v>43709</v>
      </c>
      <c r="H11" s="99">
        <v>43770</v>
      </c>
      <c r="I11" s="65" t="s">
        <v>19</v>
      </c>
      <c r="J11" s="65"/>
      <c r="K11" s="65" t="s">
        <v>27</v>
      </c>
      <c r="L11" s="65" t="s">
        <v>200</v>
      </c>
      <c r="M11" s="100" t="s">
        <v>301</v>
      </c>
      <c r="N11" s="8"/>
      <c r="O11" s="8"/>
      <c r="P11" s="26"/>
      <c r="Q11" s="91" t="s">
        <v>240</v>
      </c>
    </row>
    <row r="12" spans="1:17" ht="143.25" customHeight="1" x14ac:dyDescent="0.25">
      <c r="A12" s="92">
        <v>13</v>
      </c>
      <c r="B12" s="124" t="s">
        <v>313</v>
      </c>
      <c r="C12" s="97" t="s">
        <v>314</v>
      </c>
      <c r="D12" s="141">
        <v>158021.19</v>
      </c>
      <c r="E12" s="135"/>
      <c r="F12" s="68"/>
      <c r="G12" s="123">
        <v>43696</v>
      </c>
      <c r="H12" s="123">
        <v>43814</v>
      </c>
      <c r="I12" s="100" t="s">
        <v>19</v>
      </c>
      <c r="J12" s="65"/>
      <c r="K12" s="65" t="s">
        <v>27</v>
      </c>
      <c r="L12" s="65" t="s">
        <v>200</v>
      </c>
      <c r="M12" s="125" t="s">
        <v>315</v>
      </c>
      <c r="N12" s="8"/>
      <c r="O12" s="8"/>
      <c r="P12" s="26"/>
      <c r="Q12" s="91" t="s">
        <v>240</v>
      </c>
    </row>
    <row r="13" spans="1:17" ht="78" customHeight="1" x14ac:dyDescent="0.25">
      <c r="A13" s="92">
        <v>14</v>
      </c>
      <c r="B13" s="64" t="s">
        <v>228</v>
      </c>
      <c r="C13" s="65" t="s">
        <v>229</v>
      </c>
      <c r="D13" s="140">
        <f>62268+129600</f>
        <v>191868</v>
      </c>
      <c r="E13" s="140"/>
      <c r="F13" s="66"/>
      <c r="G13" s="123">
        <v>43499</v>
      </c>
      <c r="H13" s="123">
        <v>43951</v>
      </c>
      <c r="I13" s="65" t="s">
        <v>19</v>
      </c>
      <c r="J13" s="65"/>
      <c r="K13" s="65" t="s">
        <v>14</v>
      </c>
      <c r="L13" s="65" t="s">
        <v>200</v>
      </c>
      <c r="M13" s="65"/>
      <c r="N13" s="8"/>
      <c r="O13" s="8"/>
      <c r="P13" s="26"/>
      <c r="Q13" s="91" t="s">
        <v>240</v>
      </c>
    </row>
    <row r="14" spans="1:17" ht="59.25" customHeight="1" x14ac:dyDescent="0.25">
      <c r="A14" s="92">
        <v>15</v>
      </c>
      <c r="B14" s="64" t="s">
        <v>238</v>
      </c>
      <c r="C14" s="69" t="s">
        <v>239</v>
      </c>
      <c r="D14" s="135">
        <v>3131100</v>
      </c>
      <c r="E14" s="135"/>
      <c r="F14" s="68"/>
      <c r="G14" s="71">
        <v>43678</v>
      </c>
      <c r="H14" s="123">
        <v>43829</v>
      </c>
      <c r="I14" s="65" t="s">
        <v>13</v>
      </c>
      <c r="J14" s="65"/>
      <c r="K14" s="100" t="s">
        <v>14</v>
      </c>
      <c r="L14" s="100" t="s">
        <v>202</v>
      </c>
      <c r="M14" s="65"/>
      <c r="N14" s="8"/>
      <c r="O14" s="8"/>
      <c r="P14" s="26"/>
      <c r="Q14" s="91" t="s">
        <v>240</v>
      </c>
    </row>
    <row r="15" spans="1:17" ht="36" customHeight="1" x14ac:dyDescent="0.25">
      <c r="A15" s="92">
        <v>16</v>
      </c>
      <c r="B15" s="64" t="s">
        <v>235</v>
      </c>
      <c r="C15" s="70" t="s">
        <v>236</v>
      </c>
      <c r="D15" s="135">
        <v>6399</v>
      </c>
      <c r="E15" s="135"/>
      <c r="F15" s="68">
        <v>4798.08</v>
      </c>
      <c r="G15" s="99">
        <v>43497</v>
      </c>
      <c r="H15" s="99">
        <v>43594</v>
      </c>
      <c r="I15" s="65" t="s">
        <v>173</v>
      </c>
      <c r="J15" s="65"/>
      <c r="K15" s="65" t="s">
        <v>27</v>
      </c>
      <c r="L15" s="100" t="s">
        <v>203</v>
      </c>
      <c r="M15" s="100" t="s">
        <v>300</v>
      </c>
      <c r="N15" s="8"/>
      <c r="O15" s="8"/>
      <c r="P15" s="26"/>
      <c r="Q15" s="91" t="s">
        <v>240</v>
      </c>
    </row>
    <row r="16" spans="1:17" ht="71.25" customHeight="1" x14ac:dyDescent="0.25">
      <c r="A16" s="92">
        <v>17</v>
      </c>
      <c r="B16" s="64" t="s">
        <v>233</v>
      </c>
      <c r="C16" s="69" t="s">
        <v>234</v>
      </c>
      <c r="D16" s="135">
        <v>21000</v>
      </c>
      <c r="E16" s="135"/>
      <c r="F16" s="68"/>
      <c r="G16" s="71">
        <v>43678</v>
      </c>
      <c r="H16" s="71">
        <v>43799</v>
      </c>
      <c r="I16" s="65" t="s">
        <v>173</v>
      </c>
      <c r="J16" s="65"/>
      <c r="K16" s="65" t="s">
        <v>27</v>
      </c>
      <c r="L16" s="100" t="s">
        <v>202</v>
      </c>
      <c r="M16" s="100"/>
      <c r="N16" s="8"/>
      <c r="O16" s="8"/>
      <c r="P16" s="26"/>
      <c r="Q16" s="91" t="s">
        <v>240</v>
      </c>
    </row>
    <row r="17" spans="1:18" ht="63.75" customHeight="1" x14ac:dyDescent="0.25">
      <c r="A17" s="92">
        <v>18</v>
      </c>
      <c r="B17" s="64" t="s">
        <v>232</v>
      </c>
      <c r="C17" s="69" t="s">
        <v>161</v>
      </c>
      <c r="D17" s="135">
        <f xml:space="preserve"> 495+432+432</f>
        <v>1359</v>
      </c>
      <c r="E17" s="135"/>
      <c r="F17" s="68"/>
      <c r="G17" s="123">
        <v>44075</v>
      </c>
      <c r="H17" s="123">
        <v>44104</v>
      </c>
      <c r="I17" s="65" t="s">
        <v>173</v>
      </c>
      <c r="J17" s="65"/>
      <c r="K17" s="65" t="s">
        <v>14</v>
      </c>
      <c r="L17" s="65" t="s">
        <v>200</v>
      </c>
      <c r="M17" s="65"/>
      <c r="N17" s="8"/>
      <c r="O17" s="8"/>
      <c r="P17" s="57"/>
      <c r="Q17" s="91" t="s">
        <v>240</v>
      </c>
    </row>
    <row r="18" spans="1:18" ht="55.5" customHeight="1" x14ac:dyDescent="0.25">
      <c r="A18" s="93">
        <v>1</v>
      </c>
      <c r="B18" s="74" t="s">
        <v>243</v>
      </c>
      <c r="C18" s="75" t="s">
        <v>244</v>
      </c>
      <c r="D18" s="134">
        <v>21330</v>
      </c>
      <c r="E18" s="128"/>
      <c r="F18" s="129"/>
      <c r="G18" s="77">
        <v>43544</v>
      </c>
      <c r="H18" s="77">
        <v>43574</v>
      </c>
      <c r="I18" s="65" t="s">
        <v>173</v>
      </c>
      <c r="J18" s="65" t="s">
        <v>151</v>
      </c>
      <c r="K18" s="100" t="s">
        <v>20</v>
      </c>
      <c r="L18" s="100" t="s">
        <v>203</v>
      </c>
      <c r="M18" s="97" t="s">
        <v>324</v>
      </c>
      <c r="N18" s="8"/>
      <c r="O18" s="8"/>
      <c r="P18" s="57"/>
      <c r="Q18" s="91" t="s">
        <v>242</v>
      </c>
    </row>
    <row r="19" spans="1:18" ht="121.5" customHeight="1" x14ac:dyDescent="0.25">
      <c r="A19" s="93">
        <v>2</v>
      </c>
      <c r="B19" s="76" t="s">
        <v>245</v>
      </c>
      <c r="C19" s="74" t="s">
        <v>246</v>
      </c>
      <c r="D19" s="159">
        <v>841244</v>
      </c>
      <c r="E19" s="96"/>
      <c r="F19" s="11"/>
      <c r="G19" s="77">
        <v>43710</v>
      </c>
      <c r="H19" s="77">
        <v>43753</v>
      </c>
      <c r="I19" s="13" t="s">
        <v>52</v>
      </c>
      <c r="J19" s="13"/>
      <c r="K19" s="65" t="s">
        <v>147</v>
      </c>
      <c r="L19" s="65" t="s">
        <v>200</v>
      </c>
      <c r="M19" s="158" t="s">
        <v>250</v>
      </c>
      <c r="N19" s="8"/>
      <c r="O19" s="8"/>
      <c r="P19" s="57"/>
      <c r="Q19" s="91" t="s">
        <v>242</v>
      </c>
      <c r="R19" s="15" t="s">
        <v>336</v>
      </c>
    </row>
    <row r="20" spans="1:18" ht="55.5" customHeight="1" x14ac:dyDescent="0.25">
      <c r="A20" s="101">
        <v>3</v>
      </c>
      <c r="B20" s="102" t="s">
        <v>247</v>
      </c>
      <c r="C20" s="103" t="s">
        <v>248</v>
      </c>
      <c r="D20" s="142">
        <v>68908</v>
      </c>
      <c r="E20" s="152"/>
      <c r="F20" s="104"/>
      <c r="G20" s="105">
        <v>43864</v>
      </c>
      <c r="H20" s="105">
        <v>43889</v>
      </c>
      <c r="I20" s="106" t="s">
        <v>173</v>
      </c>
      <c r="J20" s="106"/>
      <c r="K20" s="107" t="s">
        <v>27</v>
      </c>
      <c r="L20" s="65"/>
      <c r="M20" s="13" t="s">
        <v>302</v>
      </c>
      <c r="N20" s="8"/>
      <c r="O20" s="8"/>
      <c r="P20" s="57"/>
      <c r="Q20" s="91" t="s">
        <v>242</v>
      </c>
    </row>
    <row r="21" spans="1:18" ht="73.5" customHeight="1" x14ac:dyDescent="0.25">
      <c r="A21" s="94">
        <v>4</v>
      </c>
      <c r="B21" s="76" t="s">
        <v>249</v>
      </c>
      <c r="C21" s="75" t="s">
        <v>163</v>
      </c>
      <c r="D21" s="134">
        <v>91600</v>
      </c>
      <c r="E21" s="96"/>
      <c r="F21" s="11"/>
      <c r="G21" s="77">
        <v>44230</v>
      </c>
      <c r="H21" s="77">
        <v>44255</v>
      </c>
      <c r="I21" s="13" t="s">
        <v>173</v>
      </c>
      <c r="J21" s="13"/>
      <c r="K21" s="65" t="s">
        <v>14</v>
      </c>
      <c r="L21" s="65" t="s">
        <v>200</v>
      </c>
      <c r="M21" s="13"/>
      <c r="N21" s="8"/>
      <c r="O21" s="8"/>
      <c r="P21" s="57"/>
      <c r="Q21" s="91" t="s">
        <v>242</v>
      </c>
    </row>
    <row r="22" spans="1:18" ht="73.5" customHeight="1" x14ac:dyDescent="0.25">
      <c r="A22" s="136">
        <v>1</v>
      </c>
      <c r="B22" s="64" t="s">
        <v>287</v>
      </c>
      <c r="C22" s="75" t="s">
        <v>288</v>
      </c>
      <c r="D22" s="128">
        <v>63385</v>
      </c>
      <c r="E22" s="128"/>
      <c r="F22" s="129"/>
      <c r="G22" s="77">
        <v>43405</v>
      </c>
      <c r="H22" s="77">
        <v>43423</v>
      </c>
      <c r="I22" s="65" t="s">
        <v>173</v>
      </c>
      <c r="J22" s="65"/>
      <c r="K22" s="65" t="s">
        <v>14</v>
      </c>
      <c r="L22" s="65" t="s">
        <v>203</v>
      </c>
      <c r="M22" s="13"/>
      <c r="N22" s="8"/>
      <c r="O22" s="8"/>
      <c r="P22" s="57"/>
      <c r="Q22" s="91" t="s">
        <v>214</v>
      </c>
    </row>
    <row r="23" spans="1:18" ht="73.5" customHeight="1" x14ac:dyDescent="0.25">
      <c r="A23" s="136">
        <v>2</v>
      </c>
      <c r="B23" s="64" t="s">
        <v>289</v>
      </c>
      <c r="C23" s="75" t="s">
        <v>246</v>
      </c>
      <c r="D23" s="128">
        <v>260295</v>
      </c>
      <c r="E23" s="128">
        <v>45000</v>
      </c>
      <c r="F23" s="129"/>
      <c r="G23" s="77">
        <v>43577</v>
      </c>
      <c r="H23" s="77">
        <v>43601</v>
      </c>
      <c r="I23" s="65" t="s">
        <v>52</v>
      </c>
      <c r="J23" s="65"/>
      <c r="K23" s="65" t="s">
        <v>14</v>
      </c>
      <c r="L23" s="65" t="s">
        <v>203</v>
      </c>
      <c r="M23" s="65" t="s">
        <v>325</v>
      </c>
      <c r="N23" s="8"/>
      <c r="O23" s="8"/>
      <c r="P23" s="57"/>
      <c r="Q23" s="91" t="s">
        <v>214</v>
      </c>
    </row>
    <row r="24" spans="1:18" ht="73.5" customHeight="1" x14ac:dyDescent="0.25">
      <c r="A24" s="33">
        <v>3</v>
      </c>
      <c r="B24" s="9" t="s">
        <v>290</v>
      </c>
      <c r="C24" s="10" t="s">
        <v>291</v>
      </c>
      <c r="D24" s="96">
        <v>50420.4</v>
      </c>
      <c r="E24" s="96" t="s">
        <v>298</v>
      </c>
      <c r="F24" s="11"/>
      <c r="G24" s="12">
        <v>43709</v>
      </c>
      <c r="H24" s="12">
        <v>43723</v>
      </c>
      <c r="I24" s="13" t="s">
        <v>173</v>
      </c>
      <c r="J24" s="13"/>
      <c r="K24" s="97" t="s">
        <v>33</v>
      </c>
      <c r="L24" s="65" t="s">
        <v>203</v>
      </c>
      <c r="M24" s="13" t="s">
        <v>299</v>
      </c>
      <c r="N24" s="8"/>
      <c r="O24" s="8"/>
      <c r="P24" s="57"/>
      <c r="Q24" s="91" t="s">
        <v>214</v>
      </c>
    </row>
    <row r="25" spans="1:18" ht="73.5" customHeight="1" x14ac:dyDescent="0.25">
      <c r="A25" s="33">
        <v>1</v>
      </c>
      <c r="B25" s="124" t="s">
        <v>322</v>
      </c>
      <c r="C25" s="133" t="s">
        <v>266</v>
      </c>
      <c r="D25" s="135">
        <v>453780</v>
      </c>
      <c r="E25" s="128"/>
      <c r="F25" s="129"/>
      <c r="G25" s="132">
        <v>43797</v>
      </c>
      <c r="H25" s="132">
        <v>43839</v>
      </c>
      <c r="I25" s="65" t="s">
        <v>52</v>
      </c>
      <c r="J25" s="65" t="s">
        <v>151</v>
      </c>
      <c r="K25" s="100" t="s">
        <v>20</v>
      </c>
      <c r="L25" s="97" t="s">
        <v>202</v>
      </c>
      <c r="M25" s="97" t="s">
        <v>323</v>
      </c>
      <c r="N25" s="8"/>
      <c r="O25" s="8"/>
      <c r="P25" s="57"/>
      <c r="Q25" s="91" t="s">
        <v>316</v>
      </c>
    </row>
    <row r="26" spans="1:18" ht="70.5" customHeight="1" x14ac:dyDescent="0.25">
      <c r="A26" s="33">
        <v>1</v>
      </c>
      <c r="B26" s="78" t="s">
        <v>252</v>
      </c>
      <c r="C26" s="79" t="s">
        <v>251</v>
      </c>
      <c r="D26" s="143">
        <v>5142899.01</v>
      </c>
      <c r="E26" s="153">
        <f>457800+4115100</f>
        <v>4572900</v>
      </c>
      <c r="F26" s="108">
        <f>457800+4115100</f>
        <v>4572900</v>
      </c>
      <c r="G26" s="80">
        <v>43374</v>
      </c>
      <c r="H26" s="80">
        <v>43524</v>
      </c>
      <c r="I26" s="65" t="s">
        <v>13</v>
      </c>
      <c r="J26" s="13"/>
      <c r="K26" s="65" t="s">
        <v>27</v>
      </c>
      <c r="L26" s="13" t="s">
        <v>203</v>
      </c>
      <c r="M26" s="13"/>
      <c r="N26" s="8"/>
      <c r="O26" s="8"/>
      <c r="P26" s="57"/>
      <c r="Q26" s="91" t="s">
        <v>216</v>
      </c>
    </row>
    <row r="27" spans="1:18" ht="77.25" customHeight="1" x14ac:dyDescent="0.25">
      <c r="A27" s="14">
        <v>2</v>
      </c>
      <c r="B27" s="78" t="s">
        <v>253</v>
      </c>
      <c r="C27" s="79" t="s">
        <v>251</v>
      </c>
      <c r="D27" s="143">
        <v>581512.6</v>
      </c>
      <c r="E27" s="153">
        <v>532732</v>
      </c>
      <c r="F27" s="108">
        <v>532732</v>
      </c>
      <c r="G27" s="126">
        <v>43551</v>
      </c>
      <c r="H27" s="126">
        <v>43671</v>
      </c>
      <c r="I27" s="65" t="s">
        <v>13</v>
      </c>
      <c r="J27" s="13"/>
      <c r="K27" s="65" t="s">
        <v>27</v>
      </c>
      <c r="L27" s="109" t="s">
        <v>203</v>
      </c>
      <c r="M27" s="13"/>
      <c r="N27" s="8"/>
      <c r="O27" s="8"/>
      <c r="P27" s="57"/>
      <c r="Q27" s="91" t="s">
        <v>216</v>
      </c>
    </row>
    <row r="28" spans="1:18" ht="55.5" customHeight="1" x14ac:dyDescent="0.25">
      <c r="A28" s="33">
        <v>3</v>
      </c>
      <c r="B28" s="78" t="s">
        <v>254</v>
      </c>
      <c r="C28" s="81" t="s">
        <v>255</v>
      </c>
      <c r="D28" s="143">
        <v>33179</v>
      </c>
      <c r="E28" s="96">
        <v>8820</v>
      </c>
      <c r="F28" s="11">
        <v>8820</v>
      </c>
      <c r="G28" s="126">
        <v>43630</v>
      </c>
      <c r="H28" s="126">
        <v>43670</v>
      </c>
      <c r="I28" s="13" t="s">
        <v>173</v>
      </c>
      <c r="J28" s="13"/>
      <c r="K28" s="13" t="s">
        <v>27</v>
      </c>
      <c r="L28" s="13" t="s">
        <v>203</v>
      </c>
      <c r="M28" s="100"/>
      <c r="N28" s="8"/>
      <c r="O28" s="8"/>
      <c r="P28" s="57"/>
      <c r="Q28" s="91" t="s">
        <v>216</v>
      </c>
    </row>
    <row r="29" spans="1:18" ht="55.5" customHeight="1" x14ac:dyDescent="0.25">
      <c r="A29" s="14">
        <v>10</v>
      </c>
      <c r="B29" s="82" t="s">
        <v>256</v>
      </c>
      <c r="C29" s="83" t="s">
        <v>257</v>
      </c>
      <c r="D29" s="144">
        <v>20592</v>
      </c>
      <c r="E29" s="96"/>
      <c r="F29" s="11"/>
      <c r="G29" s="84">
        <v>43508</v>
      </c>
      <c r="H29" s="84">
        <v>43555</v>
      </c>
      <c r="I29" s="13" t="s">
        <v>173</v>
      </c>
      <c r="J29" s="13"/>
      <c r="K29" s="13" t="s">
        <v>38</v>
      </c>
      <c r="L29" s="13" t="s">
        <v>46</v>
      </c>
      <c r="M29" s="13"/>
      <c r="N29" s="8"/>
      <c r="O29" s="8"/>
      <c r="P29" s="57"/>
      <c r="Q29" s="91" t="s">
        <v>218</v>
      </c>
    </row>
    <row r="30" spans="1:18" ht="55.5" customHeight="1" x14ac:dyDescent="0.25">
      <c r="A30" s="33">
        <v>11</v>
      </c>
      <c r="B30" s="82" t="s">
        <v>258</v>
      </c>
      <c r="C30" s="83" t="s">
        <v>246</v>
      </c>
      <c r="D30" s="144">
        <v>7856.5</v>
      </c>
      <c r="E30" s="96"/>
      <c r="F30" s="11"/>
      <c r="G30" s="127">
        <v>43689</v>
      </c>
      <c r="H30" s="127">
        <v>43700</v>
      </c>
      <c r="I30" s="13" t="s">
        <v>52</v>
      </c>
      <c r="J30" s="13"/>
      <c r="K30" s="13" t="s">
        <v>38</v>
      </c>
      <c r="L30" s="13" t="s">
        <v>199</v>
      </c>
      <c r="M30" s="13"/>
      <c r="N30" s="8"/>
      <c r="O30" s="8"/>
      <c r="P30" s="57"/>
      <c r="Q30" s="91" t="s">
        <v>218</v>
      </c>
    </row>
    <row r="31" spans="1:18" ht="173.25" customHeight="1" x14ac:dyDescent="0.25">
      <c r="A31" s="33">
        <v>1</v>
      </c>
      <c r="B31" s="85" t="s">
        <v>259</v>
      </c>
      <c r="C31" s="86" t="s">
        <v>260</v>
      </c>
      <c r="D31" s="145">
        <v>140000</v>
      </c>
      <c r="E31" s="96"/>
      <c r="F31" s="11"/>
      <c r="G31" s="88">
        <v>43549</v>
      </c>
      <c r="H31" s="88">
        <v>43585</v>
      </c>
      <c r="I31" s="13" t="s">
        <v>19</v>
      </c>
      <c r="J31" s="13"/>
      <c r="K31" s="13" t="s">
        <v>33</v>
      </c>
      <c r="L31" s="13" t="s">
        <v>200</v>
      </c>
      <c r="M31" s="13"/>
      <c r="N31" s="8"/>
      <c r="O31" s="8"/>
      <c r="P31" s="57"/>
      <c r="Q31" s="91" t="s">
        <v>224</v>
      </c>
    </row>
    <row r="32" spans="1:18" ht="144" customHeight="1" x14ac:dyDescent="0.25">
      <c r="A32" s="33">
        <v>2</v>
      </c>
      <c r="B32" s="85" t="s">
        <v>261</v>
      </c>
      <c r="C32" s="87" t="s">
        <v>262</v>
      </c>
      <c r="D32" s="145">
        <v>71700</v>
      </c>
      <c r="E32" s="96"/>
      <c r="F32" s="11"/>
      <c r="G32" s="88">
        <v>43541</v>
      </c>
      <c r="H32" s="88">
        <v>43585</v>
      </c>
      <c r="I32" s="13" t="s">
        <v>19</v>
      </c>
      <c r="J32" s="13"/>
      <c r="K32" s="13" t="s">
        <v>33</v>
      </c>
      <c r="L32" s="13" t="s">
        <v>200</v>
      </c>
      <c r="M32" s="13"/>
      <c r="N32" s="8"/>
      <c r="O32" s="8"/>
      <c r="P32" s="57"/>
      <c r="Q32" s="91" t="s">
        <v>224</v>
      </c>
    </row>
    <row r="33" spans="1:17" ht="71.25" customHeight="1" x14ac:dyDescent="0.25">
      <c r="A33" s="33">
        <v>3</v>
      </c>
      <c r="B33" s="85" t="s">
        <v>263</v>
      </c>
      <c r="C33" s="87" t="s">
        <v>264</v>
      </c>
      <c r="D33" s="145">
        <v>72400</v>
      </c>
      <c r="E33" s="96"/>
      <c r="F33" s="11"/>
      <c r="G33" s="88">
        <v>43525</v>
      </c>
      <c r="H33" s="88">
        <v>43556</v>
      </c>
      <c r="I33" s="13" t="s">
        <v>173</v>
      </c>
      <c r="J33" s="13"/>
      <c r="K33" s="13" t="s">
        <v>33</v>
      </c>
      <c r="L33" s="13" t="s">
        <v>203</v>
      </c>
      <c r="M33" s="13"/>
      <c r="N33" s="8"/>
      <c r="O33" s="8"/>
      <c r="P33" s="57"/>
      <c r="Q33" s="91" t="s">
        <v>224</v>
      </c>
    </row>
    <row r="34" spans="1:17" ht="67.5" customHeight="1" x14ac:dyDescent="0.25">
      <c r="A34" s="33">
        <v>4</v>
      </c>
      <c r="B34" s="85" t="s">
        <v>265</v>
      </c>
      <c r="C34" s="87" t="s">
        <v>266</v>
      </c>
      <c r="D34" s="146">
        <v>3663.87</v>
      </c>
      <c r="E34" s="96"/>
      <c r="F34" s="11"/>
      <c r="G34" s="88">
        <v>43544</v>
      </c>
      <c r="H34" s="88">
        <v>43565</v>
      </c>
      <c r="I34" s="13" t="s">
        <v>173</v>
      </c>
      <c r="J34" s="13"/>
      <c r="K34" s="13" t="s">
        <v>33</v>
      </c>
      <c r="L34" s="13" t="s">
        <v>203</v>
      </c>
      <c r="M34" s="13"/>
      <c r="N34" s="8"/>
      <c r="O34" s="8"/>
      <c r="P34" s="57"/>
      <c r="Q34" s="91" t="s">
        <v>224</v>
      </c>
    </row>
    <row r="35" spans="1:17" ht="67.5" customHeight="1" x14ac:dyDescent="0.25">
      <c r="A35" s="33">
        <v>5</v>
      </c>
      <c r="B35" s="85" t="s">
        <v>267</v>
      </c>
      <c r="C35" s="87" t="s">
        <v>244</v>
      </c>
      <c r="D35" s="145">
        <v>133620</v>
      </c>
      <c r="E35" s="96"/>
      <c r="F35" s="11"/>
      <c r="G35" s="88">
        <v>43536</v>
      </c>
      <c r="H35" s="88">
        <v>43556</v>
      </c>
      <c r="I35" s="13" t="s">
        <v>52</v>
      </c>
      <c r="J35" s="13"/>
      <c r="K35" s="13" t="s">
        <v>33</v>
      </c>
      <c r="L35" s="13" t="s">
        <v>200</v>
      </c>
      <c r="M35" s="13"/>
      <c r="N35" s="8"/>
      <c r="O35" s="8"/>
      <c r="P35" s="57"/>
      <c r="Q35" s="91" t="s">
        <v>224</v>
      </c>
    </row>
    <row r="36" spans="1:17" ht="36" x14ac:dyDescent="0.25">
      <c r="A36" s="33">
        <v>6</v>
      </c>
      <c r="B36" s="85" t="s">
        <v>268</v>
      </c>
      <c r="C36" s="87" t="s">
        <v>269</v>
      </c>
      <c r="D36" s="145">
        <v>1600</v>
      </c>
      <c r="E36" s="56"/>
      <c r="F36" s="31"/>
      <c r="G36" s="88">
        <v>43539</v>
      </c>
      <c r="H36" s="88">
        <v>43570</v>
      </c>
      <c r="I36" s="13" t="s">
        <v>172</v>
      </c>
      <c r="J36" s="32"/>
      <c r="K36" s="13" t="s">
        <v>33</v>
      </c>
      <c r="L36" s="13" t="s">
        <v>203</v>
      </c>
      <c r="M36" s="32"/>
      <c r="N36" s="8"/>
      <c r="O36" s="8"/>
      <c r="P36" s="57"/>
      <c r="Q36" s="91" t="s">
        <v>224</v>
      </c>
    </row>
    <row r="37" spans="1:17" ht="53.25" customHeight="1" x14ac:dyDescent="0.25">
      <c r="A37" s="33">
        <v>7</v>
      </c>
      <c r="B37" s="85" t="s">
        <v>270</v>
      </c>
      <c r="C37" s="87" t="s">
        <v>271</v>
      </c>
      <c r="D37" s="145">
        <v>500000</v>
      </c>
      <c r="E37" s="56"/>
      <c r="F37" s="31"/>
      <c r="G37" s="88">
        <v>43529</v>
      </c>
      <c r="H37" s="88">
        <v>43585</v>
      </c>
      <c r="I37" s="32" t="s">
        <v>52</v>
      </c>
      <c r="J37" s="32"/>
      <c r="K37" s="13" t="s">
        <v>33</v>
      </c>
      <c r="L37" s="13" t="s">
        <v>200</v>
      </c>
      <c r="M37" s="55"/>
      <c r="N37" s="8"/>
      <c r="O37" s="8"/>
      <c r="P37" s="58"/>
      <c r="Q37" s="91" t="s">
        <v>224</v>
      </c>
    </row>
    <row r="38" spans="1:17" ht="47.25" customHeight="1" x14ac:dyDescent="0.25">
      <c r="A38" s="33">
        <v>8</v>
      </c>
      <c r="B38" s="85" t="s">
        <v>272</v>
      </c>
      <c r="C38" s="87" t="s">
        <v>273</v>
      </c>
      <c r="D38" s="145">
        <v>11700</v>
      </c>
      <c r="E38" s="96"/>
      <c r="F38" s="11"/>
      <c r="G38" s="88">
        <v>43531</v>
      </c>
      <c r="H38" s="88">
        <v>43562</v>
      </c>
      <c r="I38" s="13" t="s">
        <v>173</v>
      </c>
      <c r="J38" s="13"/>
      <c r="K38" s="13" t="s">
        <v>33</v>
      </c>
      <c r="L38" s="13" t="s">
        <v>202</v>
      </c>
      <c r="M38" s="13"/>
      <c r="N38" s="8"/>
      <c r="O38" s="20"/>
      <c r="P38" s="21"/>
      <c r="Q38" s="91" t="s">
        <v>224</v>
      </c>
    </row>
    <row r="39" spans="1:17" ht="52.5" customHeight="1" x14ac:dyDescent="0.25">
      <c r="A39" s="33">
        <v>9</v>
      </c>
      <c r="B39" s="85" t="s">
        <v>274</v>
      </c>
      <c r="C39" s="87" t="s">
        <v>275</v>
      </c>
      <c r="D39" s="145">
        <v>50000</v>
      </c>
      <c r="E39" s="96"/>
      <c r="F39" s="11"/>
      <c r="G39" s="88">
        <v>43534</v>
      </c>
      <c r="H39" s="88">
        <v>43575</v>
      </c>
      <c r="I39" s="13" t="s">
        <v>173</v>
      </c>
      <c r="J39" s="13"/>
      <c r="K39" s="13" t="s">
        <v>33</v>
      </c>
      <c r="L39" s="13" t="s">
        <v>201</v>
      </c>
      <c r="M39" s="13"/>
      <c r="N39" s="1"/>
      <c r="O39" s="24"/>
      <c r="P39" s="5"/>
      <c r="Q39" s="91" t="s">
        <v>224</v>
      </c>
    </row>
    <row r="40" spans="1:17" ht="28.5" customHeight="1" x14ac:dyDescent="0.25">
      <c r="A40" s="33">
        <v>10</v>
      </c>
      <c r="B40" s="85" t="s">
        <v>276</v>
      </c>
      <c r="C40" s="87" t="s">
        <v>277</v>
      </c>
      <c r="D40" s="146">
        <v>13454.57</v>
      </c>
      <c r="E40" s="96"/>
      <c r="F40" s="11"/>
      <c r="G40" s="88">
        <v>43557</v>
      </c>
      <c r="H40" s="88">
        <v>43575</v>
      </c>
      <c r="I40" s="13" t="s">
        <v>173</v>
      </c>
      <c r="J40" s="13"/>
      <c r="K40" s="13" t="s">
        <v>33</v>
      </c>
      <c r="L40" s="13" t="s">
        <v>200</v>
      </c>
      <c r="M40" s="13"/>
      <c r="N40" s="8"/>
      <c r="O40" s="20"/>
      <c r="P40" s="22"/>
      <c r="Q40" s="91" t="s">
        <v>224</v>
      </c>
    </row>
    <row r="41" spans="1:17" ht="27.75" customHeight="1" x14ac:dyDescent="0.25">
      <c r="A41" s="33">
        <v>11</v>
      </c>
      <c r="B41" s="85" t="s">
        <v>278</v>
      </c>
      <c r="C41" s="87" t="s">
        <v>279</v>
      </c>
      <c r="D41" s="146">
        <v>11022.68</v>
      </c>
      <c r="E41" s="137"/>
      <c r="F41" s="11"/>
      <c r="G41" s="88">
        <v>43556</v>
      </c>
      <c r="H41" s="88">
        <v>43585</v>
      </c>
      <c r="I41" s="13" t="s">
        <v>173</v>
      </c>
      <c r="J41" s="13"/>
      <c r="K41" s="13" t="s">
        <v>33</v>
      </c>
      <c r="L41" s="13" t="s">
        <v>200</v>
      </c>
      <c r="M41" s="13"/>
      <c r="N41" s="8"/>
      <c r="O41" s="8"/>
      <c r="Q41" s="91" t="s">
        <v>224</v>
      </c>
    </row>
    <row r="42" spans="1:17" ht="57.75" customHeight="1" x14ac:dyDescent="0.25">
      <c r="A42" s="33">
        <v>12</v>
      </c>
      <c r="B42" s="85" t="s">
        <v>280</v>
      </c>
      <c r="C42" s="87" t="s">
        <v>281</v>
      </c>
      <c r="D42" s="145">
        <v>900</v>
      </c>
      <c r="E42" s="137"/>
      <c r="F42" s="11"/>
      <c r="G42" s="88">
        <v>43560</v>
      </c>
      <c r="H42" s="88">
        <v>43570</v>
      </c>
      <c r="I42" s="13" t="s">
        <v>172</v>
      </c>
      <c r="J42" s="13"/>
      <c r="K42" s="13" t="s">
        <v>33</v>
      </c>
      <c r="L42" s="13" t="s">
        <v>200</v>
      </c>
      <c r="M42" s="13"/>
      <c r="N42" s="8"/>
      <c r="O42" s="8"/>
      <c r="Q42" s="91" t="s">
        <v>224</v>
      </c>
    </row>
    <row r="43" spans="1:17" ht="57.75" customHeight="1" x14ac:dyDescent="0.25">
      <c r="A43" s="33">
        <v>13</v>
      </c>
      <c r="B43" s="85" t="s">
        <v>282</v>
      </c>
      <c r="C43" s="87" t="s">
        <v>283</v>
      </c>
      <c r="D43" s="145">
        <v>600</v>
      </c>
      <c r="E43" s="137"/>
      <c r="F43" s="11"/>
      <c r="G43" s="88">
        <v>43561</v>
      </c>
      <c r="H43" s="88">
        <v>43571</v>
      </c>
      <c r="I43" s="13" t="s">
        <v>172</v>
      </c>
      <c r="J43" s="13"/>
      <c r="K43" s="13" t="s">
        <v>33</v>
      </c>
      <c r="L43" s="13" t="s">
        <v>200</v>
      </c>
      <c r="M43" s="13"/>
      <c r="N43" s="8"/>
      <c r="O43" s="8"/>
      <c r="Q43" s="91" t="s">
        <v>224</v>
      </c>
    </row>
    <row r="44" spans="1:17" ht="72" x14ac:dyDescent="0.25">
      <c r="A44" s="33">
        <v>14</v>
      </c>
      <c r="B44" s="85" t="s">
        <v>284</v>
      </c>
      <c r="C44" s="87" t="s">
        <v>285</v>
      </c>
      <c r="D44" s="145">
        <v>2000</v>
      </c>
      <c r="E44" s="137"/>
      <c r="F44" s="11"/>
      <c r="G44" s="88">
        <v>43562</v>
      </c>
      <c r="H44" s="88">
        <v>43572</v>
      </c>
      <c r="I44" s="13" t="s">
        <v>172</v>
      </c>
      <c r="J44" s="13"/>
      <c r="K44" s="13" t="s">
        <v>33</v>
      </c>
      <c r="L44" s="13" t="s">
        <v>200</v>
      </c>
      <c r="M44" s="13"/>
      <c r="N44" s="8"/>
      <c r="O44" s="8"/>
      <c r="Q44" s="91" t="s">
        <v>224</v>
      </c>
    </row>
    <row r="45" spans="1:17" ht="31.5" x14ac:dyDescent="0.25">
      <c r="A45" s="92">
        <v>1</v>
      </c>
      <c r="B45" s="64" t="s">
        <v>303</v>
      </c>
      <c r="C45" s="67" t="s">
        <v>246</v>
      </c>
      <c r="D45" s="135">
        <v>130000</v>
      </c>
      <c r="E45" s="135">
        <v>130000</v>
      </c>
      <c r="F45" s="113"/>
      <c r="G45" s="71">
        <v>43647</v>
      </c>
      <c r="H45" s="71">
        <v>43678</v>
      </c>
      <c r="I45" s="13" t="s">
        <v>173</v>
      </c>
      <c r="J45" s="115"/>
      <c r="K45" s="115" t="s">
        <v>23</v>
      </c>
      <c r="L45" s="13" t="s">
        <v>200</v>
      </c>
      <c r="M45" s="118" t="s">
        <v>309</v>
      </c>
      <c r="N45" s="116"/>
      <c r="O45" s="116"/>
      <c r="P45" s="98"/>
      <c r="Q45" s="117" t="s">
        <v>217</v>
      </c>
    </row>
    <row r="46" spans="1:17" ht="29.25" customHeight="1" x14ac:dyDescent="0.25">
      <c r="A46" s="92">
        <v>2</v>
      </c>
      <c r="B46" s="64" t="s">
        <v>304</v>
      </c>
      <c r="C46" s="69" t="s">
        <v>255</v>
      </c>
      <c r="D46" s="135">
        <v>42000</v>
      </c>
      <c r="E46" s="135">
        <v>42000</v>
      </c>
      <c r="F46" s="113">
        <v>21480</v>
      </c>
      <c r="G46" s="71">
        <v>43626</v>
      </c>
      <c r="H46" s="99">
        <v>43664</v>
      </c>
      <c r="I46" s="13" t="s">
        <v>173</v>
      </c>
      <c r="J46" s="115"/>
      <c r="K46" s="115" t="s">
        <v>23</v>
      </c>
      <c r="L46" s="13" t="s">
        <v>203</v>
      </c>
      <c r="M46" s="118"/>
      <c r="N46" s="116"/>
      <c r="O46" s="116"/>
      <c r="P46" s="98"/>
      <c r="Q46" s="117" t="s">
        <v>217</v>
      </c>
    </row>
    <row r="47" spans="1:17" ht="42.75" customHeight="1" x14ac:dyDescent="0.25">
      <c r="A47" s="92">
        <v>3</v>
      </c>
      <c r="B47" s="64" t="s">
        <v>305</v>
      </c>
      <c r="C47" s="65" t="s">
        <v>306</v>
      </c>
      <c r="D47" s="140">
        <v>22900</v>
      </c>
      <c r="E47" s="140">
        <v>22900</v>
      </c>
      <c r="F47" s="113">
        <v>19804</v>
      </c>
      <c r="G47" s="71">
        <v>43631</v>
      </c>
      <c r="H47" s="99">
        <v>43636</v>
      </c>
      <c r="I47" s="13" t="s">
        <v>173</v>
      </c>
      <c r="J47" s="115"/>
      <c r="K47" s="115" t="s">
        <v>23</v>
      </c>
      <c r="L47" s="13" t="s">
        <v>203</v>
      </c>
      <c r="M47" s="118"/>
      <c r="N47" s="116"/>
      <c r="O47" s="116"/>
      <c r="P47" s="98"/>
      <c r="Q47" s="117" t="s">
        <v>217</v>
      </c>
    </row>
    <row r="48" spans="1:17" ht="31.5" x14ac:dyDescent="0.25">
      <c r="A48" s="92">
        <v>4</v>
      </c>
      <c r="B48" s="64" t="s">
        <v>307</v>
      </c>
      <c r="C48" s="65" t="s">
        <v>308</v>
      </c>
      <c r="D48" s="140">
        <v>55000</v>
      </c>
      <c r="E48" s="140">
        <v>55000</v>
      </c>
      <c r="F48" s="113"/>
      <c r="G48" s="71">
        <v>43628</v>
      </c>
      <c r="H48" s="71">
        <v>43658</v>
      </c>
      <c r="I48" s="13" t="s">
        <v>173</v>
      </c>
      <c r="J48" s="115"/>
      <c r="K48" s="115" t="s">
        <v>23</v>
      </c>
      <c r="L48" s="13" t="s">
        <v>200</v>
      </c>
      <c r="M48" s="118" t="s">
        <v>309</v>
      </c>
      <c r="N48" s="116"/>
      <c r="O48" s="116"/>
      <c r="P48" s="98"/>
      <c r="Q48" s="117" t="s">
        <v>217</v>
      </c>
    </row>
    <row r="49" spans="1:17" ht="18.75" x14ac:dyDescent="0.25">
      <c r="A49" s="110"/>
      <c r="B49" s="111"/>
      <c r="C49" s="112"/>
      <c r="D49" s="147"/>
      <c r="E49" s="154"/>
      <c r="F49" s="113"/>
      <c r="G49" s="114"/>
      <c r="H49" s="114"/>
      <c r="I49" s="115"/>
      <c r="J49" s="115"/>
      <c r="K49" s="115"/>
      <c r="L49" s="115"/>
      <c r="M49" s="115"/>
      <c r="N49" s="116"/>
      <c r="O49" s="116"/>
      <c r="P49" s="98"/>
      <c r="Q49" s="117"/>
    </row>
    <row r="50" spans="1:17" ht="18.75" x14ac:dyDescent="0.25">
      <c r="A50" s="110"/>
      <c r="B50" s="111"/>
      <c r="C50" s="112"/>
      <c r="D50" s="147"/>
      <c r="E50" s="154"/>
      <c r="F50" s="113"/>
      <c r="G50" s="114"/>
      <c r="H50" s="114"/>
      <c r="I50" s="115"/>
      <c r="J50" s="115"/>
      <c r="K50" s="115"/>
      <c r="L50" s="115"/>
      <c r="M50" s="115"/>
      <c r="N50" s="116"/>
      <c r="O50" s="116"/>
      <c r="P50" s="98"/>
      <c r="Q50" s="117"/>
    </row>
    <row r="51" spans="1:17" ht="24.75" customHeight="1" x14ac:dyDescent="0.25">
      <c r="A51" s="18" t="s">
        <v>128</v>
      </c>
      <c r="B51" s="16"/>
      <c r="C51" s="18"/>
      <c r="D51" s="148" t="e">
        <f>SUBTOTAL(109,#REF!)</f>
        <v>#REF!</v>
      </c>
      <c r="E51" s="119">
        <f>SUBTOTAL(109,Tabel_Proiecte[[Valoarea estimată  pentru 2021 lei fără TVA ]])</f>
        <v>5409352</v>
      </c>
      <c r="F51" s="119"/>
      <c r="G51" s="18"/>
      <c r="H51" s="18"/>
      <c r="I51" s="20"/>
      <c r="J51" s="20"/>
      <c r="K51" s="20"/>
      <c r="L51" s="20"/>
      <c r="M51" s="20"/>
      <c r="N51" s="20"/>
      <c r="O51" s="20"/>
      <c r="Q51" s="122"/>
    </row>
    <row r="52" spans="1:17" x14ac:dyDescent="0.25">
      <c r="A52" s="18"/>
      <c r="B52" s="382" t="s">
        <v>146</v>
      </c>
      <c r="C52" s="382"/>
      <c r="D52" s="382"/>
      <c r="E52" s="18"/>
      <c r="F52" s="18"/>
      <c r="G52" s="19"/>
      <c r="H52" s="19"/>
      <c r="I52" s="20"/>
      <c r="J52" s="20"/>
      <c r="K52" s="384" t="s">
        <v>117</v>
      </c>
      <c r="L52" s="384"/>
      <c r="M52" s="384"/>
    </row>
    <row r="53" spans="1:17" ht="15" customHeight="1" x14ac:dyDescent="0.25">
      <c r="B53" s="382" t="s">
        <v>149</v>
      </c>
      <c r="C53" s="382"/>
      <c r="D53" s="382"/>
      <c r="E53" s="18"/>
      <c r="F53" s="18"/>
      <c r="G53" s="18"/>
      <c r="H53" s="18"/>
      <c r="I53" s="20"/>
      <c r="J53" s="20"/>
      <c r="K53" s="384" t="s">
        <v>208</v>
      </c>
      <c r="L53" s="384"/>
      <c r="M53" s="384"/>
    </row>
    <row r="54" spans="1:17" ht="15" customHeight="1" x14ac:dyDescent="0.25">
      <c r="B54" s="382" t="s">
        <v>118</v>
      </c>
      <c r="C54" s="382"/>
      <c r="D54" s="382"/>
      <c r="E54" s="18"/>
      <c r="F54" s="18"/>
      <c r="G54" s="18"/>
      <c r="H54" s="18"/>
      <c r="I54" s="20"/>
      <c r="J54" s="20"/>
      <c r="K54" s="385" t="s">
        <v>209</v>
      </c>
      <c r="L54" s="385"/>
      <c r="M54" s="385"/>
    </row>
    <row r="55" spans="1:17" ht="15" customHeight="1" x14ac:dyDescent="0.25">
      <c r="B55" s="20"/>
      <c r="C55" s="20"/>
      <c r="D55" s="149"/>
      <c r="E55" s="18"/>
      <c r="F55" s="18"/>
      <c r="G55" s="18"/>
      <c r="H55" s="18"/>
      <c r="I55" s="20"/>
      <c r="J55" s="20"/>
      <c r="K55" s="18"/>
      <c r="L55" s="18"/>
      <c r="M55" s="18"/>
    </row>
    <row r="56" spans="1:17" ht="15" customHeight="1" x14ac:dyDescent="0.25">
      <c r="B56" s="20"/>
      <c r="C56" s="20"/>
      <c r="D56" s="149"/>
      <c r="E56" s="18"/>
      <c r="F56" s="18"/>
      <c r="G56" s="18"/>
      <c r="H56" s="18"/>
      <c r="I56" s="20"/>
      <c r="J56" s="20"/>
      <c r="K56" s="18"/>
      <c r="L56" s="18"/>
      <c r="M56" s="18"/>
    </row>
    <row r="57" spans="1:17" ht="15" customHeight="1" x14ac:dyDescent="0.25">
      <c r="B57" s="20"/>
      <c r="C57" s="20"/>
      <c r="D57" s="149"/>
      <c r="E57" s="18"/>
      <c r="F57" s="18"/>
      <c r="G57" s="18"/>
      <c r="H57" s="18"/>
      <c r="I57" s="20"/>
      <c r="J57" s="20"/>
      <c r="K57" s="18"/>
      <c r="L57" s="18"/>
      <c r="M57" s="18"/>
    </row>
    <row r="58" spans="1:17" ht="15" customHeight="1" x14ac:dyDescent="0.25">
      <c r="B58" s="382" t="s">
        <v>155</v>
      </c>
      <c r="C58" s="382"/>
      <c r="D58" s="382"/>
      <c r="E58" s="18"/>
      <c r="F58" s="18"/>
      <c r="G58" s="18"/>
      <c r="H58" s="18"/>
      <c r="I58" s="20"/>
      <c r="J58" s="20"/>
      <c r="K58" s="382" t="s">
        <v>155</v>
      </c>
      <c r="L58" s="382"/>
      <c r="M58" s="382"/>
    </row>
    <row r="59" spans="1:17" x14ac:dyDescent="0.25">
      <c r="B59" s="382" t="s">
        <v>157</v>
      </c>
      <c r="C59" s="382"/>
      <c r="D59" s="382"/>
      <c r="E59" s="18"/>
      <c r="F59" s="18"/>
      <c r="G59" s="18"/>
      <c r="H59" s="18"/>
      <c r="I59" s="20"/>
      <c r="J59" s="20"/>
      <c r="K59" s="383" t="s">
        <v>210</v>
      </c>
      <c r="L59" s="383"/>
      <c r="M59" s="383"/>
    </row>
    <row r="60" spans="1:17" x14ac:dyDescent="0.25">
      <c r="B60" s="20"/>
      <c r="C60" s="20"/>
      <c r="D60" s="149"/>
      <c r="E60" s="18"/>
      <c r="F60" s="18"/>
      <c r="G60" s="18"/>
      <c r="H60" s="18"/>
      <c r="I60" s="20"/>
      <c r="J60" s="20"/>
      <c r="K60" s="20"/>
      <c r="L60" s="20"/>
      <c r="M60" s="20"/>
    </row>
    <row r="61" spans="1:17" x14ac:dyDescent="0.25">
      <c r="B61" s="20"/>
      <c r="C61" s="20"/>
      <c r="D61" s="149"/>
      <c r="E61" s="18"/>
      <c r="F61" s="18"/>
      <c r="G61" s="18"/>
      <c r="H61" s="18"/>
      <c r="I61" s="20"/>
      <c r="J61" s="20"/>
      <c r="K61" s="20"/>
      <c r="L61" s="20"/>
      <c r="M61" s="20"/>
    </row>
    <row r="62" spans="1:17" x14ac:dyDescent="0.25">
      <c r="B62" s="16"/>
      <c r="C62" s="18"/>
      <c r="D62" s="150"/>
      <c r="E62" s="18"/>
      <c r="F62" s="18"/>
      <c r="G62" s="18"/>
      <c r="H62" s="18"/>
      <c r="I62" s="20"/>
      <c r="J62" s="20"/>
      <c r="K62" s="20"/>
      <c r="L62" s="20"/>
      <c r="M62" s="18"/>
    </row>
    <row r="63" spans="1:17" x14ac:dyDescent="0.25">
      <c r="B63" s="381" t="s">
        <v>119</v>
      </c>
      <c r="C63" s="381"/>
      <c r="D63" s="381"/>
      <c r="E63" s="18"/>
      <c r="F63" s="18"/>
      <c r="G63" s="18"/>
      <c r="H63" s="18"/>
      <c r="I63" s="20"/>
      <c r="J63" s="20"/>
      <c r="K63" s="20"/>
      <c r="L63" s="20"/>
      <c r="M63" s="18"/>
    </row>
    <row r="64" spans="1:17" x14ac:dyDescent="0.25">
      <c r="B64" s="381" t="s">
        <v>156</v>
      </c>
      <c r="C64" s="381"/>
      <c r="D64" s="381"/>
      <c r="E64" s="18"/>
      <c r="F64" s="18"/>
      <c r="G64" s="18"/>
      <c r="H64" s="18"/>
      <c r="I64" s="20"/>
      <c r="J64" s="20"/>
      <c r="K64" s="20"/>
      <c r="L64" s="20"/>
      <c r="M64" s="18"/>
    </row>
    <row r="65" spans="2:13" x14ac:dyDescent="0.25">
      <c r="B65" s="381" t="s">
        <v>120</v>
      </c>
      <c r="C65" s="381"/>
      <c r="D65" s="381"/>
      <c r="E65" s="18"/>
      <c r="F65" s="18"/>
      <c r="G65" s="18"/>
      <c r="H65" s="18"/>
      <c r="I65" s="20"/>
      <c r="J65" s="20"/>
      <c r="K65" s="20"/>
      <c r="L65" s="20"/>
      <c r="M65" s="18"/>
    </row>
    <row r="66" spans="2:13" x14ac:dyDescent="0.25">
      <c r="B66" s="16"/>
      <c r="C66" s="18"/>
      <c r="D66" s="150"/>
      <c r="E66" s="18"/>
      <c r="F66" s="18"/>
      <c r="G66" s="18"/>
      <c r="H66" s="18"/>
      <c r="I66" s="20"/>
      <c r="J66" s="20"/>
      <c r="K66" s="20"/>
      <c r="L66" s="20"/>
      <c r="M66" s="18"/>
    </row>
    <row r="67" spans="2:13" x14ac:dyDescent="0.25">
      <c r="B67" s="16"/>
      <c r="C67" s="18"/>
      <c r="D67" s="150"/>
      <c r="E67" s="18"/>
      <c r="F67" s="18"/>
      <c r="G67" s="18"/>
      <c r="H67" s="18"/>
      <c r="I67" s="20"/>
      <c r="J67" s="20"/>
      <c r="K67" s="20"/>
      <c r="L67" s="20"/>
      <c r="M67" s="18"/>
    </row>
    <row r="68" spans="2:13" x14ac:dyDescent="0.25">
      <c r="B68" s="16"/>
      <c r="C68" s="18"/>
      <c r="D68" s="150"/>
      <c r="E68" s="18"/>
      <c r="F68" s="18"/>
      <c r="G68" s="18"/>
      <c r="H68" s="18"/>
      <c r="I68" s="20"/>
      <c r="J68" s="20"/>
      <c r="K68" s="20"/>
      <c r="L68" s="20"/>
      <c r="M68" s="18"/>
    </row>
    <row r="69" spans="2:13" x14ac:dyDescent="0.25">
      <c r="B69" s="16"/>
      <c r="C69" s="18"/>
      <c r="D69" s="150"/>
      <c r="E69" s="18"/>
      <c r="F69" s="18"/>
      <c r="G69" s="18"/>
      <c r="H69" s="18"/>
      <c r="I69" s="20"/>
      <c r="J69" s="20"/>
      <c r="K69" s="20"/>
      <c r="L69" s="20"/>
      <c r="M69" s="18"/>
    </row>
  </sheetData>
  <sheetProtection sort="0" autoFilter="0" pivotTables="0"/>
  <mergeCells count="19">
    <mergeCell ref="A6:M6"/>
    <mergeCell ref="I1:M1"/>
    <mergeCell ref="I2:M2"/>
    <mergeCell ref="I3:M3"/>
    <mergeCell ref="A4:M4"/>
    <mergeCell ref="A5:M5"/>
    <mergeCell ref="B52:D52"/>
    <mergeCell ref="K52:M52"/>
    <mergeCell ref="B53:D53"/>
    <mergeCell ref="K53:M53"/>
    <mergeCell ref="B54:D54"/>
    <mergeCell ref="K54:M54"/>
    <mergeCell ref="B65:D65"/>
    <mergeCell ref="B58:D58"/>
    <mergeCell ref="K58:M58"/>
    <mergeCell ref="B59:D59"/>
    <mergeCell ref="K59:M59"/>
    <mergeCell ref="B63:D63"/>
    <mergeCell ref="B64:D64"/>
  </mergeCells>
  <dataValidations count="7">
    <dataValidation type="list" allowBlank="1" showInputMessage="1" showErrorMessage="1" sqref="J9:J50" xr:uid="{00000000-0002-0000-0300-000000000000}">
      <formula1>mod_derulare</formula1>
    </dataValidation>
    <dataValidation type="list" allowBlank="1" showInputMessage="1" showErrorMessage="1" sqref="K9:K50" xr:uid="{00000000-0002-0000-0300-000001000000}">
      <formula1>responsabil_achiz</formula1>
    </dataValidation>
    <dataValidation type="list" allowBlank="1" showInputMessage="1" showErrorMessage="1" sqref="I9:I50" xr:uid="{00000000-0002-0000-0300-000002000000}">
      <formula1>tip_procedura</formula1>
    </dataValidation>
    <dataValidation type="list" allowBlank="1" showInputMessage="1" showErrorMessage="1" sqref="N9:O50" xr:uid="{00000000-0002-0000-0300-000003000000}">
      <formula1>"DA, NU"</formula1>
    </dataValidation>
    <dataValidation type="list" allowBlank="1" showInputMessage="1" showErrorMessage="1" sqref="P9:P50" xr:uid="{00000000-0002-0000-0300-000004000000}">
      <formula1>art_buget</formula1>
    </dataValidation>
    <dataValidation type="list" allowBlank="1" showInputMessage="1" showErrorMessage="1" sqref="L9:L50" xr:uid="{00000000-0002-0000-0300-000005000000}">
      <formula1>status_achiz</formula1>
    </dataValidation>
    <dataValidation type="list" allowBlank="1" showInputMessage="1" showErrorMessage="1" sqref="Q9:Q50" xr:uid="{00000000-0002-0000-0300-000006000000}">
      <formula1>Proiecte</formula1>
    </dataValidation>
  </dataValidations>
  <pageMargins left="0.7" right="0.7" top="0.75" bottom="0.75" header="0.3" footer="0.3"/>
  <pageSetup paperSize="9" scale="16" orientation="landscape" r:id="rId1"/>
  <headerFooter>
    <oddFooter>&amp;RPag. &amp;P/&amp;N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25"/>
  <sheetViews>
    <sheetView workbookViewId="0">
      <selection activeCell="B15" sqref="B15"/>
    </sheetView>
  </sheetViews>
  <sheetFormatPr defaultRowHeight="15" x14ac:dyDescent="0.25"/>
  <cols>
    <col min="1" max="1" width="14" customWidth="1"/>
    <col min="2" max="2" width="46.7109375" bestFit="1" customWidth="1"/>
    <col min="3" max="3" width="20.140625" bestFit="1" customWidth="1"/>
    <col min="4" max="4" width="14.28515625" bestFit="1" customWidth="1"/>
    <col min="5" max="5" width="10.5703125" bestFit="1" customWidth="1"/>
    <col min="6" max="6" width="13.28515625" bestFit="1" customWidth="1"/>
    <col min="7" max="7" width="46.7109375" bestFit="1" customWidth="1"/>
    <col min="8" max="8" width="9.5703125" bestFit="1" customWidth="1"/>
    <col min="9" max="9" width="47.7109375" bestFit="1" customWidth="1"/>
    <col min="10" max="10" width="11.5703125" bestFit="1" customWidth="1"/>
    <col min="11" max="11" width="10.5703125" bestFit="1" customWidth="1"/>
    <col min="12" max="12" width="9.5703125" bestFit="1" customWidth="1"/>
    <col min="13" max="14" width="51.7109375" bestFit="1" customWidth="1"/>
    <col min="15" max="16" width="52.7109375" bestFit="1" customWidth="1"/>
    <col min="17" max="76" width="48.140625" bestFit="1" customWidth="1"/>
    <col min="77" max="77" width="53.140625" bestFit="1" customWidth="1"/>
    <col min="78" max="78" width="51.7109375" bestFit="1" customWidth="1"/>
  </cols>
  <sheetData>
    <row r="1" spans="1:15" x14ac:dyDescent="0.25">
      <c r="A1" s="25" t="s">
        <v>400</v>
      </c>
    </row>
    <row r="2" spans="1:15" x14ac:dyDescent="0.25">
      <c r="A2" s="6" t="s">
        <v>130</v>
      </c>
      <c r="B2" t="s" vm="4">
        <v>165</v>
      </c>
      <c r="C2" s="4" t="s">
        <v>167</v>
      </c>
      <c r="D2" s="23">
        <f>(GETPIVOTDATA("[Measures].[Sum of Valoarea estimată  pentru 2020 lei fără TVA]",$A$4)+GETPIVOTDATA("[Measures].[Sum of Valoarea estimată  pentru 2020 lei fără TVA 2]",$A$4)+GETPIVOTDATA("[Measures].[Sum of Valoarea estimată  pentru 2020 lei fără TVA 3]",$A$4))*1.19</f>
        <v>75473209.784349993</v>
      </c>
    </row>
    <row r="4" spans="1:15" x14ac:dyDescent="0.25">
      <c r="B4" s="6" t="s">
        <v>175</v>
      </c>
    </row>
    <row r="5" spans="1:15" x14ac:dyDescent="0.25">
      <c r="B5" t="s">
        <v>326</v>
      </c>
      <c r="G5" t="s">
        <v>326</v>
      </c>
      <c r="I5" t="s">
        <v>327</v>
      </c>
      <c r="M5" t="s">
        <v>334</v>
      </c>
      <c r="N5" t="s">
        <v>334</v>
      </c>
      <c r="O5" t="s">
        <v>335</v>
      </c>
    </row>
    <row r="6" spans="1:15" x14ac:dyDescent="0.25">
      <c r="A6" s="6" t="s">
        <v>126</v>
      </c>
      <c r="B6" t="s">
        <v>329</v>
      </c>
      <c r="C6" t="s">
        <v>330</v>
      </c>
      <c r="D6" t="s">
        <v>331</v>
      </c>
      <c r="E6" t="s">
        <v>332</v>
      </c>
      <c r="F6" t="s">
        <v>338</v>
      </c>
      <c r="G6" t="s">
        <v>329</v>
      </c>
      <c r="H6" t="s">
        <v>331</v>
      </c>
      <c r="I6" t="s">
        <v>329</v>
      </c>
      <c r="J6" t="s">
        <v>330</v>
      </c>
      <c r="K6" t="s">
        <v>331</v>
      </c>
      <c r="L6" t="s">
        <v>332</v>
      </c>
    </row>
    <row r="7" spans="1:15" x14ac:dyDescent="0.25">
      <c r="A7" s="3" t="s">
        <v>18</v>
      </c>
      <c r="B7" s="7"/>
      <c r="C7" s="7"/>
      <c r="D7" s="7"/>
      <c r="E7" s="7"/>
      <c r="F7" s="7"/>
      <c r="G7" s="7"/>
      <c r="H7" s="7"/>
      <c r="I7" s="7">
        <v>18500</v>
      </c>
      <c r="J7" s="7"/>
      <c r="K7" s="7"/>
      <c r="L7" s="7"/>
      <c r="M7" s="7"/>
      <c r="N7" s="7"/>
      <c r="O7" s="7">
        <v>18500</v>
      </c>
    </row>
    <row r="8" spans="1:15" x14ac:dyDescent="0.25">
      <c r="A8" s="3" t="s">
        <v>32</v>
      </c>
      <c r="B8" s="7"/>
      <c r="C8" s="7">
        <v>274539.41000000003</v>
      </c>
      <c r="D8" s="7"/>
      <c r="E8" s="7"/>
      <c r="F8" s="7"/>
      <c r="G8" s="7"/>
      <c r="H8" s="7"/>
      <c r="I8" s="7">
        <v>16315.96</v>
      </c>
      <c r="J8" s="7"/>
      <c r="K8" s="7"/>
      <c r="L8" s="7"/>
      <c r="M8" s="7">
        <v>274539.41000000003</v>
      </c>
      <c r="N8" s="7"/>
      <c r="O8" s="7">
        <v>16315.96</v>
      </c>
    </row>
    <row r="9" spans="1:15" x14ac:dyDescent="0.25">
      <c r="A9" s="3" t="s">
        <v>31</v>
      </c>
      <c r="B9" s="7">
        <v>279222.3</v>
      </c>
      <c r="C9" s="7"/>
      <c r="D9" s="7">
        <v>440000</v>
      </c>
      <c r="E9" s="7"/>
      <c r="F9" s="7"/>
      <c r="G9" s="7"/>
      <c r="H9" s="7"/>
      <c r="I9" s="7"/>
      <c r="J9" s="7"/>
      <c r="K9" s="7"/>
      <c r="L9" s="7"/>
      <c r="M9" s="7">
        <v>719222.3</v>
      </c>
      <c r="N9" s="7"/>
      <c r="O9" s="7"/>
    </row>
    <row r="10" spans="1:15" x14ac:dyDescent="0.25">
      <c r="A10" s="3" t="s">
        <v>37</v>
      </c>
      <c r="B10" s="7"/>
      <c r="C10" s="7"/>
      <c r="D10" s="7"/>
      <c r="E10" s="7"/>
      <c r="F10" s="7"/>
      <c r="G10" s="7"/>
      <c r="H10" s="7">
        <v>7000</v>
      </c>
      <c r="I10" s="7"/>
      <c r="J10" s="7"/>
      <c r="K10" s="7"/>
      <c r="L10" s="7"/>
      <c r="M10" s="7"/>
      <c r="N10" s="7">
        <v>7000</v>
      </c>
      <c r="O10" s="7"/>
    </row>
    <row r="11" spans="1:15" x14ac:dyDescent="0.25">
      <c r="A11" s="3" t="s">
        <v>135</v>
      </c>
      <c r="B11" s="7"/>
      <c r="C11" s="7"/>
      <c r="D11" s="7"/>
      <c r="E11" s="7">
        <v>26665</v>
      </c>
      <c r="F11" s="7"/>
      <c r="G11" s="7"/>
      <c r="H11" s="7"/>
      <c r="I11" s="7">
        <v>1008.4</v>
      </c>
      <c r="J11" s="7"/>
      <c r="K11" s="7"/>
      <c r="L11" s="7"/>
      <c r="M11" s="7">
        <v>26665</v>
      </c>
      <c r="N11" s="7"/>
      <c r="O11" s="7">
        <v>1008.4</v>
      </c>
    </row>
    <row r="12" spans="1:15" x14ac:dyDescent="0.25">
      <c r="A12" s="3" t="s">
        <v>35</v>
      </c>
      <c r="B12" s="7">
        <v>5000000</v>
      </c>
      <c r="C12" s="7"/>
      <c r="D12" s="7"/>
      <c r="E12" s="7"/>
      <c r="F12" s="7"/>
      <c r="G12" s="7"/>
      <c r="H12" s="7"/>
      <c r="I12" s="7">
        <v>54078.15</v>
      </c>
      <c r="J12" s="7"/>
      <c r="K12" s="7"/>
      <c r="L12" s="7"/>
      <c r="M12" s="7">
        <v>5000000</v>
      </c>
      <c r="N12" s="7"/>
      <c r="O12" s="7">
        <v>54078.15</v>
      </c>
    </row>
    <row r="13" spans="1:15" x14ac:dyDescent="0.25">
      <c r="A13" s="3" t="s">
        <v>25</v>
      </c>
      <c r="B13" s="7"/>
      <c r="C13" s="7">
        <v>134944</v>
      </c>
      <c r="D13" s="7"/>
      <c r="E13" s="7"/>
      <c r="F13" s="7"/>
      <c r="G13" s="7">
        <v>1290000</v>
      </c>
      <c r="H13" s="7"/>
      <c r="I13" s="7">
        <v>64681.17</v>
      </c>
      <c r="J13" s="7">
        <v>79884</v>
      </c>
      <c r="K13" s="7">
        <v>16300</v>
      </c>
      <c r="L13" s="7">
        <v>7677</v>
      </c>
      <c r="M13" s="7">
        <v>134944</v>
      </c>
      <c r="N13" s="7">
        <v>1290000</v>
      </c>
      <c r="O13" s="7">
        <v>168542.16999999998</v>
      </c>
    </row>
    <row r="14" spans="1:15" x14ac:dyDescent="0.25">
      <c r="A14" s="3" t="s">
        <v>61</v>
      </c>
      <c r="B14" s="7"/>
      <c r="C14" s="7"/>
      <c r="D14" s="7"/>
      <c r="E14" s="7"/>
      <c r="F14" s="7"/>
      <c r="G14" s="7"/>
      <c r="H14" s="7"/>
      <c r="I14" s="7">
        <v>9474</v>
      </c>
      <c r="J14" s="7"/>
      <c r="K14" s="7"/>
      <c r="L14" s="7"/>
      <c r="M14" s="7"/>
      <c r="N14" s="7"/>
      <c r="O14" s="7">
        <v>9474</v>
      </c>
    </row>
    <row r="15" spans="1:15" x14ac:dyDescent="0.25">
      <c r="A15" s="3" t="s">
        <v>43</v>
      </c>
      <c r="B15" s="7"/>
      <c r="C15" s="7"/>
      <c r="D15" s="7"/>
      <c r="E15" s="7"/>
      <c r="F15" s="7"/>
      <c r="G15" s="7"/>
      <c r="H15" s="7"/>
      <c r="I15" s="7">
        <v>8935</v>
      </c>
      <c r="J15" s="7"/>
      <c r="K15" s="7"/>
      <c r="L15" s="7"/>
      <c r="M15" s="7"/>
      <c r="N15" s="7"/>
      <c r="O15" s="7">
        <v>8935</v>
      </c>
    </row>
    <row r="16" spans="1:15" x14ac:dyDescent="0.25">
      <c r="A16" s="3" t="s">
        <v>29</v>
      </c>
      <c r="B16" s="7"/>
      <c r="C16" s="7"/>
      <c r="D16" s="7"/>
      <c r="E16" s="7">
        <v>62500</v>
      </c>
      <c r="F16" s="7"/>
      <c r="G16" s="7"/>
      <c r="H16" s="7"/>
      <c r="I16" s="7"/>
      <c r="J16" s="7"/>
      <c r="K16" s="7"/>
      <c r="L16" s="7"/>
      <c r="M16" s="7">
        <v>62500</v>
      </c>
      <c r="N16" s="7"/>
      <c r="O16" s="7"/>
    </row>
    <row r="17" spans="1:15" x14ac:dyDescent="0.25">
      <c r="A17" s="3" t="s">
        <v>42</v>
      </c>
      <c r="B17" s="7"/>
      <c r="C17" s="7"/>
      <c r="D17" s="7"/>
      <c r="E17" s="7"/>
      <c r="F17" s="7"/>
      <c r="G17" s="7"/>
      <c r="H17" s="7"/>
      <c r="I17" s="7">
        <v>21891.8</v>
      </c>
      <c r="J17" s="7">
        <v>49963.934999999998</v>
      </c>
      <c r="K17" s="7"/>
      <c r="L17" s="7"/>
      <c r="M17" s="7"/>
      <c r="N17" s="7"/>
      <c r="O17" s="7">
        <v>71855.735000000001</v>
      </c>
    </row>
    <row r="18" spans="1:15" x14ac:dyDescent="0.25">
      <c r="A18" s="3" t="s">
        <v>45</v>
      </c>
      <c r="B18" s="7"/>
      <c r="C18" s="7"/>
      <c r="D18" s="7"/>
      <c r="E18" s="7"/>
      <c r="F18" s="7"/>
      <c r="G18" s="7"/>
      <c r="H18" s="7"/>
      <c r="I18" s="7">
        <v>89619</v>
      </c>
      <c r="J18" s="7"/>
      <c r="K18" s="7"/>
      <c r="L18" s="7"/>
      <c r="M18" s="7"/>
      <c r="N18" s="7"/>
      <c r="O18" s="7">
        <v>89619</v>
      </c>
    </row>
    <row r="19" spans="1:15" x14ac:dyDescent="0.25">
      <c r="A19" s="3" t="s">
        <v>44</v>
      </c>
      <c r="B19" s="7"/>
      <c r="C19" s="7"/>
      <c r="D19" s="7"/>
      <c r="E19" s="7"/>
      <c r="F19" s="7"/>
      <c r="G19" s="7"/>
      <c r="H19" s="7"/>
      <c r="I19" s="7">
        <v>40500</v>
      </c>
      <c r="J19" s="7"/>
      <c r="K19" s="7"/>
      <c r="L19" s="7"/>
      <c r="M19" s="7"/>
      <c r="N19" s="7"/>
      <c r="O19" s="7">
        <v>40500</v>
      </c>
    </row>
    <row r="20" spans="1:15" x14ac:dyDescent="0.25">
      <c r="A20" s="3" t="s">
        <v>50</v>
      </c>
      <c r="B20" s="7"/>
      <c r="C20" s="7"/>
      <c r="D20" s="7"/>
      <c r="E20" s="7"/>
      <c r="F20" s="7"/>
      <c r="G20" s="7">
        <v>31211</v>
      </c>
      <c r="H20" s="7"/>
      <c r="I20" s="7"/>
      <c r="J20" s="7"/>
      <c r="K20" s="7"/>
      <c r="L20" s="7"/>
      <c r="M20" s="7"/>
      <c r="N20" s="7">
        <v>31211</v>
      </c>
      <c r="O20" s="7"/>
    </row>
    <row r="21" spans="1:15" x14ac:dyDescent="0.25">
      <c r="A21" s="3" t="s">
        <v>28</v>
      </c>
      <c r="B21" s="7"/>
      <c r="C21" s="7"/>
      <c r="D21" s="7"/>
      <c r="E21" s="7"/>
      <c r="F21" s="7"/>
      <c r="G21" s="7">
        <v>4065.55</v>
      </c>
      <c r="H21" s="7"/>
      <c r="I21" s="7">
        <v>2546.2199999999998</v>
      </c>
      <c r="J21" s="7"/>
      <c r="K21" s="7"/>
      <c r="L21" s="7"/>
      <c r="M21" s="7"/>
      <c r="N21" s="7">
        <v>4065.55</v>
      </c>
      <c r="O21" s="7">
        <v>2546.2199999999998</v>
      </c>
    </row>
    <row r="22" spans="1:15" x14ac:dyDescent="0.25">
      <c r="A22" s="3" t="s">
        <v>16</v>
      </c>
      <c r="B22" s="7">
        <v>924369.75</v>
      </c>
      <c r="C22" s="7">
        <v>50630252.100000001</v>
      </c>
      <c r="D22" s="7"/>
      <c r="E22" s="7"/>
      <c r="F22" s="7"/>
      <c r="G22" s="7"/>
      <c r="H22" s="7"/>
      <c r="I22" s="7">
        <v>101800</v>
      </c>
      <c r="J22" s="7"/>
      <c r="K22" s="7"/>
      <c r="L22" s="7"/>
      <c r="M22" s="7">
        <v>51554621.850000001</v>
      </c>
      <c r="N22" s="7"/>
      <c r="O22" s="7">
        <v>101800</v>
      </c>
    </row>
    <row r="23" spans="1:15" x14ac:dyDescent="0.25">
      <c r="A23" s="3" t="s">
        <v>34</v>
      </c>
      <c r="B23" s="7">
        <v>380000</v>
      </c>
      <c r="C23" s="7"/>
      <c r="D23" s="7"/>
      <c r="E23" s="7"/>
      <c r="F23" s="7"/>
      <c r="G23" s="7"/>
      <c r="H23" s="7"/>
      <c r="I23" s="7"/>
      <c r="J23" s="7"/>
      <c r="K23" s="7"/>
      <c r="L23" s="7"/>
      <c r="M23" s="7">
        <v>380000</v>
      </c>
      <c r="N23" s="7"/>
      <c r="O23" s="7"/>
    </row>
    <row r="24" spans="1:15" x14ac:dyDescent="0.25">
      <c r="A24" s="3" t="s">
        <v>338</v>
      </c>
      <c r="B24" s="7"/>
      <c r="C24" s="7"/>
      <c r="D24" s="7"/>
      <c r="E24" s="7"/>
      <c r="F24" s="7">
        <v>3354921.62</v>
      </c>
      <c r="G24" s="7"/>
      <c r="H24" s="7"/>
      <c r="I24" s="7"/>
      <c r="J24" s="7"/>
      <c r="K24" s="7"/>
      <c r="L24" s="7"/>
      <c r="M24" s="7">
        <v>3354921.62</v>
      </c>
      <c r="N24" s="7"/>
      <c r="O24" s="7"/>
    </row>
    <row r="25" spans="1:15" x14ac:dyDescent="0.25">
      <c r="A25" s="3" t="s">
        <v>125</v>
      </c>
      <c r="B25" s="7">
        <v>6583592.0499999998</v>
      </c>
      <c r="C25" s="7">
        <v>51039735.510000005</v>
      </c>
      <c r="D25" s="7">
        <v>440000</v>
      </c>
      <c r="E25" s="7">
        <v>89165</v>
      </c>
      <c r="F25" s="7">
        <v>3354921.62</v>
      </c>
      <c r="G25" s="7">
        <v>1325276.55</v>
      </c>
      <c r="H25" s="7">
        <v>7000</v>
      </c>
      <c r="I25" s="7">
        <v>429349.7</v>
      </c>
      <c r="J25" s="7">
        <v>129847.935</v>
      </c>
      <c r="K25" s="7">
        <v>16300</v>
      </c>
      <c r="L25" s="7">
        <v>7677</v>
      </c>
      <c r="M25" s="7">
        <v>61507414.18</v>
      </c>
      <c r="N25" s="7">
        <v>1332276.55</v>
      </c>
      <c r="O25" s="7">
        <v>583174.63500000013</v>
      </c>
    </row>
  </sheetData>
  <sheetProtection sort="0" autoFilter="0" pivotTables="0"/>
  <pageMargins left="0.7" right="0.7" top="0.75" bottom="0.75" header="0.3" footer="0.3"/>
  <pageSetup paperSize="9" scale="85"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4"/>
  <sheetViews>
    <sheetView workbookViewId="0">
      <selection activeCell="B15" sqref="B15"/>
    </sheetView>
  </sheetViews>
  <sheetFormatPr defaultRowHeight="15" x14ac:dyDescent="0.25"/>
  <cols>
    <col min="1" max="1" width="14" customWidth="1"/>
    <col min="2" max="2" width="36.7109375" bestFit="1" customWidth="1"/>
    <col min="3" max="5" width="36.7109375" customWidth="1"/>
    <col min="6" max="8" width="13.28515625" customWidth="1"/>
    <col min="9" max="9" width="14.28515625" customWidth="1"/>
    <col min="10" max="76" width="48.140625" bestFit="1" customWidth="1"/>
    <col min="77" max="77" width="53.140625" bestFit="1" customWidth="1"/>
    <col min="78" max="78" width="51.7109375" bestFit="1" customWidth="1"/>
  </cols>
  <sheetData>
    <row r="1" spans="1:4" x14ac:dyDescent="0.25">
      <c r="A1" s="25" t="s">
        <v>401</v>
      </c>
    </row>
    <row r="2" spans="1:4" x14ac:dyDescent="0.25">
      <c r="A2" s="6" t="s">
        <v>130</v>
      </c>
      <c r="B2" t="s" vm="2">
        <v>204</v>
      </c>
    </row>
    <row r="3" spans="1:4" x14ac:dyDescent="0.25">
      <c r="A3" s="6" t="s">
        <v>158</v>
      </c>
      <c r="B3" t="s" vm="1">
        <v>165</v>
      </c>
      <c r="C3" s="4" t="s">
        <v>167</v>
      </c>
      <c r="D3" s="23">
        <f>(GETPIVOTDATA("[Measures].[Sum of Valoare estimata  - lei fără TVA -]",$A$5)+GETPIVOTDATA("[Measures].[Sum of Valoare estimata  - lei fără TVA - 2]",$A$5)+GETPIVOTDATA("[Measures].[Sum of Valoare estimata  - lei fără TVA - 3]",$A$5))*1.19</f>
        <v>180959229.93224999</v>
      </c>
    </row>
    <row r="5" spans="1:4" x14ac:dyDescent="0.25">
      <c r="A5" s="6" t="s">
        <v>126</v>
      </c>
      <c r="B5" t="s">
        <v>166</v>
      </c>
      <c r="C5" t="s">
        <v>166</v>
      </c>
      <c r="D5" t="s">
        <v>166</v>
      </c>
    </row>
    <row r="6" spans="1:4" x14ac:dyDescent="0.25">
      <c r="A6" s="3" t="s">
        <v>18</v>
      </c>
      <c r="B6" s="7"/>
      <c r="C6" s="7">
        <v>18500</v>
      </c>
      <c r="D6" s="7"/>
    </row>
    <row r="7" spans="1:4" x14ac:dyDescent="0.25">
      <c r="A7" s="3" t="s">
        <v>32</v>
      </c>
      <c r="B7" s="7">
        <v>386333.61</v>
      </c>
      <c r="C7" s="7">
        <v>16315.96</v>
      </c>
      <c r="D7" s="7"/>
    </row>
    <row r="8" spans="1:4" x14ac:dyDescent="0.25">
      <c r="A8" s="3" t="s">
        <v>31</v>
      </c>
      <c r="B8" s="7">
        <v>9787440</v>
      </c>
      <c r="C8" s="7"/>
      <c r="D8" s="7"/>
    </row>
    <row r="9" spans="1:4" x14ac:dyDescent="0.25">
      <c r="A9" s="3" t="s">
        <v>37</v>
      </c>
      <c r="B9" s="7"/>
      <c r="C9" s="7"/>
      <c r="D9" s="7">
        <v>33600</v>
      </c>
    </row>
    <row r="10" spans="1:4" x14ac:dyDescent="0.25">
      <c r="A10" s="3" t="s">
        <v>135</v>
      </c>
      <c r="B10" s="7">
        <v>1279920</v>
      </c>
      <c r="C10" s="7">
        <v>1008.4</v>
      </c>
      <c r="D10" s="7"/>
    </row>
    <row r="11" spans="1:4" x14ac:dyDescent="0.25">
      <c r="A11" s="3" t="s">
        <v>35</v>
      </c>
      <c r="B11" s="7">
        <v>70786457.719999999</v>
      </c>
      <c r="C11" s="7">
        <v>54078.15</v>
      </c>
      <c r="D11" s="7"/>
    </row>
    <row r="12" spans="1:4" x14ac:dyDescent="0.25">
      <c r="A12" s="3" t="s">
        <v>25</v>
      </c>
      <c r="B12" s="7">
        <v>522590</v>
      </c>
      <c r="C12" s="7">
        <v>631577</v>
      </c>
      <c r="D12" s="7">
        <v>4124000</v>
      </c>
    </row>
    <row r="13" spans="1:4" x14ac:dyDescent="0.25">
      <c r="A13" s="3" t="s">
        <v>61</v>
      </c>
      <c r="B13" s="7"/>
      <c r="C13" s="7">
        <v>9474</v>
      </c>
      <c r="D13" s="7"/>
    </row>
    <row r="14" spans="1:4" x14ac:dyDescent="0.25">
      <c r="A14" s="3" t="s">
        <v>43</v>
      </c>
      <c r="B14" s="7"/>
      <c r="C14" s="7">
        <v>8935</v>
      </c>
      <c r="D14" s="7"/>
    </row>
    <row r="15" spans="1:4" x14ac:dyDescent="0.25">
      <c r="A15" s="3" t="s">
        <v>29</v>
      </c>
      <c r="B15" s="7">
        <v>375000</v>
      </c>
      <c r="C15" s="7"/>
      <c r="D15" s="7"/>
    </row>
    <row r="16" spans="1:4" x14ac:dyDescent="0.25">
      <c r="A16" s="3" t="s">
        <v>42</v>
      </c>
      <c r="B16" s="7"/>
      <c r="C16" s="7">
        <v>106191.535</v>
      </c>
      <c r="D16" s="7"/>
    </row>
    <row r="17" spans="1:4" x14ac:dyDescent="0.25">
      <c r="A17" s="3" t="s">
        <v>45</v>
      </c>
      <c r="B17" s="7"/>
      <c r="C17" s="7">
        <v>65859</v>
      </c>
      <c r="D17" s="7"/>
    </row>
    <row r="18" spans="1:4" x14ac:dyDescent="0.25">
      <c r="A18" s="3" t="s">
        <v>44</v>
      </c>
      <c r="B18" s="7"/>
      <c r="C18" s="7">
        <v>40500</v>
      </c>
      <c r="D18" s="7"/>
    </row>
    <row r="19" spans="1:4" x14ac:dyDescent="0.25">
      <c r="A19" s="3" t="s">
        <v>50</v>
      </c>
      <c r="B19" s="7"/>
      <c r="C19" s="7"/>
      <c r="D19" s="7">
        <v>31211</v>
      </c>
    </row>
    <row r="20" spans="1:4" x14ac:dyDescent="0.25">
      <c r="A20" s="3" t="s">
        <v>28</v>
      </c>
      <c r="B20" s="7"/>
      <c r="C20" s="7">
        <v>2546.2199999999998</v>
      </c>
      <c r="D20" s="7">
        <v>4065.55</v>
      </c>
    </row>
    <row r="21" spans="1:4" x14ac:dyDescent="0.25">
      <c r="A21" s="3" t="s">
        <v>16</v>
      </c>
      <c r="B21" s="7">
        <v>51554621.850000001</v>
      </c>
      <c r="C21" s="7">
        <v>101820</v>
      </c>
      <c r="D21" s="7"/>
    </row>
    <row r="22" spans="1:4" x14ac:dyDescent="0.25">
      <c r="A22" s="3" t="s">
        <v>34</v>
      </c>
      <c r="B22" s="7">
        <v>380000</v>
      </c>
      <c r="C22" s="7"/>
      <c r="D22" s="7"/>
    </row>
    <row r="23" spans="1:4" x14ac:dyDescent="0.25">
      <c r="A23" s="3" t="s">
        <v>338</v>
      </c>
      <c r="B23" s="7">
        <v>11744534.779999999</v>
      </c>
      <c r="C23" s="7"/>
      <c r="D23" s="7"/>
    </row>
    <row r="24" spans="1:4" x14ac:dyDescent="0.25">
      <c r="A24" s="3" t="s">
        <v>125</v>
      </c>
      <c r="B24" s="7">
        <v>146816897.96000001</v>
      </c>
      <c r="C24" s="7">
        <v>1056805.2649999999</v>
      </c>
      <c r="D24" s="7">
        <v>4192876.55</v>
      </c>
    </row>
  </sheetData>
  <sheetProtection sort="0" autoFilter="0" pivotTables="0"/>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17"/>
  <sheetViews>
    <sheetView workbookViewId="0">
      <selection activeCell="B15" sqref="B15"/>
    </sheetView>
  </sheetViews>
  <sheetFormatPr defaultRowHeight="15" x14ac:dyDescent="0.25"/>
  <cols>
    <col min="1" max="1" width="22.5703125" bestFit="1" customWidth="1"/>
    <col min="2" max="2" width="16.28515625" bestFit="1" customWidth="1"/>
    <col min="3" max="3" width="6.28515625" customWidth="1"/>
    <col min="4" max="4" width="10" customWidth="1"/>
    <col min="5" max="5" width="21.5703125" bestFit="1" customWidth="1"/>
    <col min="6" max="6" width="9.85546875" bestFit="1" customWidth="1"/>
    <col min="7" max="7" width="8.5703125" bestFit="1" customWidth="1"/>
    <col min="8" max="9" width="21.5703125" bestFit="1" customWidth="1"/>
    <col min="10" max="10" width="23" bestFit="1" customWidth="1"/>
    <col min="11" max="11" width="14.85546875" bestFit="1" customWidth="1"/>
    <col min="12" max="14" width="21.5703125" bestFit="1" customWidth="1"/>
    <col min="15" max="15" width="14.85546875" bestFit="1" customWidth="1"/>
    <col min="16" max="17" width="21.5703125" bestFit="1" customWidth="1"/>
    <col min="18" max="18" width="32.7109375" bestFit="1" customWidth="1"/>
    <col min="19" max="19" width="14.85546875" bestFit="1" customWidth="1"/>
    <col min="20" max="21" width="21.5703125" bestFit="1" customWidth="1"/>
    <col min="22" max="22" width="17.28515625" bestFit="1" customWidth="1"/>
    <col min="23" max="23" width="8.5703125" bestFit="1" customWidth="1"/>
    <col min="24" max="24" width="10" bestFit="1" customWidth="1"/>
    <col min="25" max="25" width="21.5703125" bestFit="1" customWidth="1"/>
    <col min="26" max="26" width="21" bestFit="1" customWidth="1"/>
    <col min="27" max="27" width="8.5703125" bestFit="1" customWidth="1"/>
    <col min="28" max="28" width="10" bestFit="1" customWidth="1"/>
    <col min="29" max="29" width="21.5703125" bestFit="1" customWidth="1"/>
    <col min="30" max="30" width="16.7109375" bestFit="1" customWidth="1"/>
    <col min="31" max="31" width="13.5703125" bestFit="1" customWidth="1"/>
    <col min="32" max="32" width="16.7109375" bestFit="1" customWidth="1"/>
    <col min="33" max="33" width="26.5703125" bestFit="1" customWidth="1"/>
    <col min="34" max="34" width="16.140625" bestFit="1" customWidth="1"/>
    <col min="35" max="35" width="14.85546875" bestFit="1" customWidth="1"/>
    <col min="36" max="38" width="21.5703125" bestFit="1" customWidth="1"/>
    <col min="39" max="39" width="14.85546875" bestFit="1" customWidth="1"/>
    <col min="40" max="42" width="21.5703125" bestFit="1" customWidth="1"/>
    <col min="43" max="43" width="14.85546875" bestFit="1" customWidth="1"/>
    <col min="44" max="45" width="21.5703125" bestFit="1" customWidth="1"/>
    <col min="46" max="46" width="32.7109375" bestFit="1" customWidth="1"/>
    <col min="47" max="47" width="14.85546875" bestFit="1" customWidth="1"/>
    <col min="48" max="49" width="21.5703125" bestFit="1" customWidth="1"/>
    <col min="50" max="50" width="25" bestFit="1" customWidth="1"/>
    <col min="51" max="51" width="14.85546875" bestFit="1" customWidth="1"/>
    <col min="52" max="53" width="21.5703125" bestFit="1" customWidth="1"/>
    <col min="54" max="54" width="78.140625" bestFit="1" customWidth="1"/>
    <col min="55" max="55" width="14.85546875" bestFit="1" customWidth="1"/>
    <col min="56" max="57" width="21.5703125" bestFit="1" customWidth="1"/>
    <col min="58" max="58" width="17.28515625" bestFit="1" customWidth="1"/>
    <col min="59" max="59" width="14.85546875" bestFit="1" customWidth="1"/>
    <col min="60" max="61" width="21.5703125" bestFit="1" customWidth="1"/>
    <col min="62" max="62" width="21" bestFit="1" customWidth="1"/>
    <col min="63" max="63" width="14.85546875" bestFit="1" customWidth="1"/>
    <col min="64" max="64" width="11.7109375" bestFit="1" customWidth="1"/>
    <col min="65" max="66" width="21.5703125" bestFit="1" customWidth="1"/>
    <col min="67" max="67" width="14.85546875" bestFit="1" customWidth="1"/>
    <col min="68" max="68" width="11.7109375" bestFit="1" customWidth="1"/>
    <col min="69" max="69" width="21.5703125" bestFit="1" customWidth="1"/>
    <col min="70" max="71" width="13.5703125" bestFit="1" customWidth="1"/>
    <col min="72" max="72" width="16.7109375" bestFit="1" customWidth="1"/>
    <col min="73" max="73" width="26.5703125" bestFit="1" customWidth="1"/>
    <col min="74" max="74" width="15.140625" bestFit="1" customWidth="1"/>
    <col min="75" max="75" width="21.5703125" bestFit="1" customWidth="1"/>
    <col min="76" max="76" width="14.85546875" bestFit="1" customWidth="1"/>
    <col min="77" max="77" width="15.140625" bestFit="1" customWidth="1"/>
    <col min="78" max="78" width="21.5703125" bestFit="1" customWidth="1"/>
    <col min="79" max="79" width="14.85546875" bestFit="1" customWidth="1"/>
    <col min="80" max="80" width="15.7109375" bestFit="1" customWidth="1"/>
    <col min="81" max="81" width="21.5703125" bestFit="1" customWidth="1"/>
    <col min="82" max="82" width="14.85546875" bestFit="1" customWidth="1"/>
    <col min="83" max="83" width="17.85546875" bestFit="1" customWidth="1"/>
    <col min="84" max="84" width="21.5703125" bestFit="1" customWidth="1"/>
    <col min="85" max="85" width="14.85546875" bestFit="1" customWidth="1"/>
    <col min="86" max="86" width="15.140625" bestFit="1" customWidth="1"/>
    <col min="87" max="87" width="21.5703125" bestFit="1" customWidth="1"/>
    <col min="88" max="88" width="14.85546875" bestFit="1" customWidth="1"/>
    <col min="89" max="89" width="29.85546875" bestFit="1" customWidth="1"/>
    <col min="90" max="90" width="36.140625" bestFit="1" customWidth="1"/>
    <col min="91" max="91" width="29.42578125" bestFit="1" customWidth="1"/>
    <col min="92" max="92" width="20.28515625" bestFit="1" customWidth="1"/>
    <col min="93" max="93" width="21.5703125" bestFit="1" customWidth="1"/>
    <col min="94" max="94" width="14.85546875" bestFit="1" customWidth="1"/>
    <col min="95" max="95" width="18.7109375" bestFit="1" customWidth="1"/>
    <col min="96" max="96" width="21.5703125" bestFit="1" customWidth="1"/>
    <col min="97" max="97" width="14.85546875" bestFit="1" customWidth="1"/>
    <col min="98" max="98" width="18.42578125" bestFit="1" customWidth="1"/>
    <col min="99" max="99" width="21.5703125" bestFit="1" customWidth="1"/>
    <col min="100" max="100" width="14.85546875" bestFit="1" customWidth="1"/>
    <col min="101" max="101" width="15.140625" bestFit="1" customWidth="1"/>
    <col min="102" max="102" width="21.5703125" bestFit="1" customWidth="1"/>
    <col min="103" max="103" width="14.85546875" bestFit="1" customWidth="1"/>
    <col min="104" max="104" width="15.140625" bestFit="1" customWidth="1"/>
    <col min="105" max="105" width="21.5703125" bestFit="1" customWidth="1"/>
    <col min="106" max="106" width="14.85546875" bestFit="1" customWidth="1"/>
    <col min="107" max="107" width="15.140625" bestFit="1" customWidth="1"/>
    <col min="108" max="108" width="21.5703125" bestFit="1" customWidth="1"/>
    <col min="109" max="109" width="14.85546875" bestFit="1" customWidth="1"/>
    <col min="110" max="110" width="15.7109375" bestFit="1" customWidth="1"/>
    <col min="111" max="111" width="21.5703125" bestFit="1" customWidth="1"/>
    <col min="112" max="112" width="14.85546875" bestFit="1" customWidth="1"/>
    <col min="113" max="113" width="17.85546875" bestFit="1" customWidth="1"/>
    <col min="114" max="114" width="21.5703125" bestFit="1" customWidth="1"/>
    <col min="115" max="115" width="14.85546875" bestFit="1" customWidth="1"/>
    <col min="116" max="116" width="15.140625" bestFit="1" customWidth="1"/>
    <col min="117" max="117" width="21.5703125" bestFit="1" customWidth="1"/>
    <col min="118" max="118" width="14.85546875" bestFit="1" customWidth="1"/>
    <col min="119" max="119" width="33.28515625" bestFit="1" customWidth="1"/>
    <col min="120" max="120" width="39.7109375" bestFit="1" customWidth="1"/>
    <col min="121" max="121" width="33" bestFit="1" customWidth="1"/>
    <col min="122" max="122" width="15.140625" bestFit="1" customWidth="1"/>
    <col min="123" max="123" width="21.5703125" bestFit="1" customWidth="1"/>
    <col min="124" max="124" width="14.85546875" bestFit="1" customWidth="1"/>
    <col min="125" max="125" width="18.7109375" bestFit="1" customWidth="1"/>
    <col min="126" max="126" width="21.5703125" bestFit="1" customWidth="1"/>
    <col min="127" max="127" width="14.85546875" bestFit="1" customWidth="1"/>
    <col min="128" max="128" width="18.42578125" bestFit="1" customWidth="1"/>
    <col min="129" max="129" width="21.5703125" bestFit="1" customWidth="1"/>
    <col min="130" max="130" width="14.85546875" bestFit="1" customWidth="1"/>
    <col min="131" max="131" width="15.140625" bestFit="1" customWidth="1"/>
    <col min="132" max="132" width="21.5703125" bestFit="1" customWidth="1"/>
    <col min="133" max="133" width="14.85546875" bestFit="1" customWidth="1"/>
    <col min="134" max="134" width="15.140625" bestFit="1" customWidth="1"/>
    <col min="135" max="135" width="21.5703125" bestFit="1" customWidth="1"/>
    <col min="136" max="136" width="14.85546875" bestFit="1" customWidth="1"/>
    <col min="137" max="137" width="15.140625" bestFit="1" customWidth="1"/>
    <col min="138" max="138" width="21.5703125" bestFit="1" customWidth="1"/>
    <col min="139" max="139" width="14.85546875" bestFit="1" customWidth="1"/>
    <col min="140" max="140" width="15.7109375" bestFit="1" customWidth="1"/>
    <col min="141" max="141" width="21.5703125" bestFit="1" customWidth="1"/>
    <col min="142" max="142" width="14.85546875" bestFit="1" customWidth="1"/>
    <col min="143" max="143" width="17.85546875" bestFit="1" customWidth="1"/>
    <col min="144" max="144" width="21.5703125" bestFit="1" customWidth="1"/>
    <col min="145" max="145" width="14.85546875" bestFit="1" customWidth="1"/>
    <col min="146" max="146" width="15.140625" bestFit="1" customWidth="1"/>
    <col min="147" max="147" width="21.5703125" bestFit="1" customWidth="1"/>
    <col min="148" max="148" width="14.85546875" bestFit="1" customWidth="1"/>
    <col min="149" max="149" width="26.42578125" bestFit="1" customWidth="1"/>
    <col min="150" max="150" width="32.7109375" bestFit="1" customWidth="1"/>
    <col min="151" max="151" width="26.140625" bestFit="1" customWidth="1"/>
    <col min="152" max="152" width="15.140625" bestFit="1" customWidth="1"/>
    <col min="153" max="153" width="21.5703125" bestFit="1" customWidth="1"/>
    <col min="154" max="154" width="14.85546875" bestFit="1" customWidth="1"/>
    <col min="155" max="155" width="18.7109375" bestFit="1" customWidth="1"/>
    <col min="156" max="156" width="21.5703125" bestFit="1" customWidth="1"/>
    <col min="157" max="157" width="14.85546875" bestFit="1" customWidth="1"/>
    <col min="158" max="158" width="18.42578125" bestFit="1" customWidth="1"/>
    <col min="159" max="159" width="21.5703125" bestFit="1" customWidth="1"/>
    <col min="160" max="160" width="14.85546875" bestFit="1" customWidth="1"/>
    <col min="161" max="161" width="15.140625" bestFit="1" customWidth="1"/>
    <col min="162" max="162" width="21.5703125" bestFit="1" customWidth="1"/>
    <col min="163" max="163" width="14.85546875" bestFit="1" customWidth="1"/>
    <col min="164" max="164" width="15.140625" bestFit="1" customWidth="1"/>
    <col min="165" max="165" width="21.5703125" bestFit="1" customWidth="1"/>
    <col min="166" max="166" width="14.85546875" bestFit="1" customWidth="1"/>
    <col min="167" max="167" width="15.140625" bestFit="1" customWidth="1"/>
    <col min="168" max="168" width="21.5703125" bestFit="1" customWidth="1"/>
    <col min="169" max="169" width="14.85546875" bestFit="1" customWidth="1"/>
    <col min="170" max="170" width="15.7109375" bestFit="1" customWidth="1"/>
    <col min="171" max="171" width="21.5703125" bestFit="1" customWidth="1"/>
    <col min="172" max="172" width="14.85546875" bestFit="1" customWidth="1"/>
    <col min="173" max="173" width="17.85546875" bestFit="1" customWidth="1"/>
    <col min="174" max="174" width="21.5703125" bestFit="1" customWidth="1"/>
    <col min="175" max="175" width="14.85546875" bestFit="1" customWidth="1"/>
    <col min="176" max="176" width="15.140625" bestFit="1" customWidth="1"/>
    <col min="177" max="177" width="21.5703125" bestFit="1" customWidth="1"/>
    <col min="178" max="178" width="14.85546875" bestFit="1" customWidth="1"/>
    <col min="179" max="179" width="26.7109375" bestFit="1" customWidth="1"/>
    <col min="180" max="180" width="33" bestFit="1" customWidth="1"/>
    <col min="181" max="181" width="26.42578125" bestFit="1" customWidth="1"/>
    <col min="182" max="182" width="16.7109375" bestFit="1" customWidth="1"/>
    <col min="183" max="183" width="21.5703125" bestFit="1" customWidth="1"/>
    <col min="184" max="184" width="14.85546875" bestFit="1" customWidth="1"/>
    <col min="185" max="185" width="18.7109375" bestFit="1" customWidth="1"/>
    <col min="186" max="186" width="21.5703125" bestFit="1" customWidth="1"/>
    <col min="187" max="187" width="14.85546875" bestFit="1" customWidth="1"/>
    <col min="188" max="188" width="18.42578125" bestFit="1" customWidth="1"/>
    <col min="189" max="189" width="21.5703125" bestFit="1" customWidth="1"/>
    <col min="190" max="190" width="14.85546875" bestFit="1" customWidth="1"/>
    <col min="191" max="191" width="15.140625" bestFit="1" customWidth="1"/>
    <col min="192" max="192" width="21.5703125" bestFit="1" customWidth="1"/>
    <col min="193" max="193" width="14.85546875" bestFit="1" customWidth="1"/>
    <col min="194" max="194" width="15.140625" bestFit="1" customWidth="1"/>
    <col min="195" max="195" width="21.5703125" bestFit="1" customWidth="1"/>
    <col min="196" max="196" width="14.85546875" bestFit="1" customWidth="1"/>
    <col min="197" max="197" width="15.140625" bestFit="1" customWidth="1"/>
    <col min="198" max="198" width="21.5703125" bestFit="1" customWidth="1"/>
    <col min="199" max="199" width="14.85546875" bestFit="1" customWidth="1"/>
    <col min="200" max="200" width="15.7109375" bestFit="1" customWidth="1"/>
    <col min="201" max="201" width="21.5703125" bestFit="1" customWidth="1"/>
    <col min="202" max="202" width="14.85546875" bestFit="1" customWidth="1"/>
    <col min="203" max="203" width="17.85546875" bestFit="1" customWidth="1"/>
    <col min="204" max="204" width="21.5703125" bestFit="1" customWidth="1"/>
    <col min="205" max="205" width="14.85546875" bestFit="1" customWidth="1"/>
    <col min="206" max="206" width="15.140625" bestFit="1" customWidth="1"/>
    <col min="207" max="207" width="21.5703125" bestFit="1" customWidth="1"/>
    <col min="208" max="208" width="14.85546875" bestFit="1" customWidth="1"/>
    <col min="209" max="209" width="29.85546875" bestFit="1" customWidth="1"/>
    <col min="210" max="210" width="36.140625" bestFit="1" customWidth="1"/>
    <col min="211" max="211" width="29.42578125" bestFit="1" customWidth="1"/>
    <col min="212" max="212" width="15.140625" bestFit="1" customWidth="1"/>
    <col min="213" max="213" width="21.5703125" bestFit="1" customWidth="1"/>
    <col min="214" max="214" width="14.85546875" bestFit="1" customWidth="1"/>
    <col min="215" max="215" width="18.7109375" bestFit="1" customWidth="1"/>
    <col min="216" max="216" width="21.5703125" bestFit="1" customWidth="1"/>
    <col min="217" max="217" width="14.85546875" bestFit="1" customWidth="1"/>
    <col min="218" max="218" width="18.42578125" bestFit="1" customWidth="1"/>
    <col min="219" max="219" width="21.5703125" bestFit="1" customWidth="1"/>
    <col min="220" max="220" width="14.85546875" bestFit="1" customWidth="1"/>
    <col min="221" max="221" width="15.140625" bestFit="1" customWidth="1"/>
    <col min="222" max="222" width="21.5703125" bestFit="1" customWidth="1"/>
    <col min="223" max="223" width="14.85546875" bestFit="1" customWidth="1"/>
    <col min="224" max="224" width="15.140625" bestFit="1" customWidth="1"/>
    <col min="225" max="225" width="21.5703125" bestFit="1" customWidth="1"/>
    <col min="226" max="226" width="14.85546875" bestFit="1" customWidth="1"/>
    <col min="227" max="227" width="15.140625" bestFit="1" customWidth="1"/>
    <col min="228" max="228" width="21.5703125" bestFit="1" customWidth="1"/>
    <col min="229" max="229" width="14.85546875" bestFit="1" customWidth="1"/>
    <col min="230" max="230" width="15.7109375" bestFit="1" customWidth="1"/>
    <col min="231" max="231" width="21.5703125" bestFit="1" customWidth="1"/>
    <col min="232" max="232" width="14.85546875" bestFit="1" customWidth="1"/>
    <col min="233" max="233" width="17.85546875" bestFit="1" customWidth="1"/>
    <col min="234" max="234" width="21.5703125" bestFit="1" customWidth="1"/>
    <col min="235" max="235" width="14.85546875" bestFit="1" customWidth="1"/>
    <col min="236" max="236" width="15.140625" bestFit="1" customWidth="1"/>
    <col min="237" max="237" width="21.5703125" bestFit="1" customWidth="1"/>
    <col min="238" max="238" width="14.85546875" bestFit="1" customWidth="1"/>
    <col min="239" max="239" width="26.7109375" bestFit="1" customWidth="1"/>
    <col min="240" max="240" width="33" bestFit="1" customWidth="1"/>
    <col min="241" max="241" width="26.42578125" bestFit="1" customWidth="1"/>
    <col min="242" max="242" width="17.5703125" bestFit="1" customWidth="1"/>
    <col min="243" max="243" width="21.5703125" bestFit="1" customWidth="1"/>
    <col min="244" max="244" width="14.85546875" bestFit="1" customWidth="1"/>
    <col min="245" max="245" width="18.7109375" bestFit="1" customWidth="1"/>
    <col min="246" max="246" width="21.5703125" bestFit="1" customWidth="1"/>
    <col min="247" max="247" width="14.85546875" bestFit="1" customWidth="1"/>
    <col min="248" max="248" width="18.42578125" bestFit="1" customWidth="1"/>
    <col min="249" max="249" width="21.5703125" bestFit="1" customWidth="1"/>
    <col min="250" max="250" width="14.85546875" bestFit="1" customWidth="1"/>
    <col min="251" max="251" width="15.140625" bestFit="1" customWidth="1"/>
    <col min="252" max="252" width="21.5703125" bestFit="1" customWidth="1"/>
    <col min="253" max="253" width="14.85546875" bestFit="1" customWidth="1"/>
    <col min="254" max="254" width="15.140625" bestFit="1" customWidth="1"/>
    <col min="255" max="255" width="21.5703125" bestFit="1" customWidth="1"/>
    <col min="256" max="256" width="14.85546875" bestFit="1" customWidth="1"/>
    <col min="257" max="257" width="15.140625" bestFit="1" customWidth="1"/>
    <col min="258" max="258" width="21.5703125" bestFit="1" customWidth="1"/>
    <col min="259" max="259" width="14.85546875" bestFit="1" customWidth="1"/>
    <col min="260" max="260" width="15.7109375" bestFit="1" customWidth="1"/>
    <col min="261" max="261" width="21.5703125" bestFit="1" customWidth="1"/>
    <col min="262" max="262" width="14.85546875" bestFit="1" customWidth="1"/>
    <col min="263" max="263" width="17.85546875" bestFit="1" customWidth="1"/>
    <col min="264" max="264" width="21.5703125" bestFit="1" customWidth="1"/>
    <col min="265" max="265" width="14.85546875" bestFit="1" customWidth="1"/>
    <col min="266" max="266" width="15.140625" bestFit="1" customWidth="1"/>
    <col min="267" max="267" width="21.5703125" bestFit="1" customWidth="1"/>
    <col min="268" max="268" width="14.85546875" bestFit="1" customWidth="1"/>
    <col min="269" max="269" width="30.7109375" bestFit="1" customWidth="1"/>
    <col min="270" max="270" width="37" bestFit="1" customWidth="1"/>
    <col min="271" max="271" width="30.42578125" bestFit="1" customWidth="1"/>
    <col min="272" max="272" width="16.85546875" bestFit="1" customWidth="1"/>
    <col min="273" max="273" width="21.5703125" bestFit="1" customWidth="1"/>
    <col min="274" max="274" width="14.85546875" bestFit="1" customWidth="1"/>
    <col min="275" max="275" width="18.7109375" bestFit="1" customWidth="1"/>
    <col min="276" max="276" width="21.5703125" bestFit="1" customWidth="1"/>
    <col min="277" max="277" width="14.85546875" bestFit="1" customWidth="1"/>
    <col min="278" max="278" width="18.42578125" bestFit="1" customWidth="1"/>
    <col min="279" max="279" width="21.5703125" bestFit="1" customWidth="1"/>
    <col min="280" max="280" width="14.85546875" bestFit="1" customWidth="1"/>
    <col min="281" max="281" width="15.140625" bestFit="1" customWidth="1"/>
    <col min="282" max="282" width="21.5703125" bestFit="1" customWidth="1"/>
    <col min="283" max="283" width="14.85546875" bestFit="1" customWidth="1"/>
    <col min="284" max="284" width="15.140625" bestFit="1" customWidth="1"/>
    <col min="285" max="285" width="21.5703125" bestFit="1" customWidth="1"/>
    <col min="286" max="286" width="14.85546875" bestFit="1" customWidth="1"/>
    <col min="287" max="287" width="15.140625" bestFit="1" customWidth="1"/>
    <col min="288" max="288" width="21.5703125" bestFit="1" customWidth="1"/>
    <col min="289" max="289" width="14.85546875" bestFit="1" customWidth="1"/>
    <col min="290" max="290" width="15.7109375" bestFit="1" customWidth="1"/>
    <col min="291" max="291" width="21.5703125" bestFit="1" customWidth="1"/>
    <col min="292" max="292" width="14.85546875" bestFit="1" customWidth="1"/>
    <col min="293" max="293" width="17.85546875" bestFit="1" customWidth="1"/>
    <col min="294" max="294" width="21.5703125" bestFit="1" customWidth="1"/>
    <col min="295" max="295" width="14.85546875" bestFit="1" customWidth="1"/>
    <col min="296" max="296" width="15.140625" bestFit="1" customWidth="1"/>
    <col min="297" max="297" width="21.5703125" bestFit="1" customWidth="1"/>
    <col min="298" max="298" width="14.85546875" bestFit="1" customWidth="1"/>
    <col min="299" max="299" width="30" bestFit="1" customWidth="1"/>
    <col min="300" max="300" width="36.28515625" bestFit="1" customWidth="1"/>
    <col min="301" max="301" width="29.7109375" bestFit="1" customWidth="1"/>
    <col min="302" max="302" width="24.7109375" bestFit="1" customWidth="1"/>
    <col min="303" max="303" width="21.5703125" bestFit="1" customWidth="1"/>
    <col min="304" max="304" width="14.85546875" bestFit="1" customWidth="1"/>
    <col min="305" max="305" width="18.7109375" bestFit="1" customWidth="1"/>
    <col min="306" max="306" width="21.5703125" bestFit="1" customWidth="1"/>
    <col min="307" max="307" width="14.85546875" bestFit="1" customWidth="1"/>
    <col min="308" max="308" width="18.42578125" bestFit="1" customWidth="1"/>
    <col min="309" max="309" width="21.5703125" bestFit="1" customWidth="1"/>
    <col min="310" max="310" width="14.85546875" bestFit="1" customWidth="1"/>
    <col min="311" max="311" width="15.140625" bestFit="1" customWidth="1"/>
    <col min="312" max="312" width="21.5703125" bestFit="1" customWidth="1"/>
    <col min="313" max="313" width="14.85546875" bestFit="1" customWidth="1"/>
    <col min="314" max="314" width="15.140625" bestFit="1" customWidth="1"/>
    <col min="315" max="315" width="21.5703125" bestFit="1" customWidth="1"/>
    <col min="316" max="316" width="14.85546875" bestFit="1" customWidth="1"/>
    <col min="317" max="317" width="15.140625" bestFit="1" customWidth="1"/>
    <col min="318" max="318" width="21.5703125" bestFit="1" customWidth="1"/>
    <col min="319" max="319" width="14.85546875" bestFit="1" customWidth="1"/>
    <col min="320" max="320" width="15.7109375" bestFit="1" customWidth="1"/>
    <col min="321" max="321" width="21.5703125" bestFit="1" customWidth="1"/>
    <col min="322" max="322" width="14.85546875" bestFit="1" customWidth="1"/>
    <col min="323" max="323" width="17.85546875" bestFit="1" customWidth="1"/>
    <col min="324" max="324" width="21.5703125" bestFit="1" customWidth="1"/>
    <col min="325" max="325" width="14.85546875" bestFit="1" customWidth="1"/>
    <col min="326" max="326" width="15.140625" bestFit="1" customWidth="1"/>
    <col min="327" max="327" width="21.5703125" bestFit="1" customWidth="1"/>
    <col min="328" max="328" width="14.85546875" bestFit="1" customWidth="1"/>
    <col min="329" max="329" width="37.7109375" bestFit="1" customWidth="1"/>
    <col min="330" max="330" width="44.140625" bestFit="1" customWidth="1"/>
    <col min="331" max="331" width="37.42578125" bestFit="1" customWidth="1"/>
    <col min="332" max="332" width="19.7109375" bestFit="1" customWidth="1"/>
    <col min="333" max="333" width="21.5703125" bestFit="1" customWidth="1"/>
    <col min="334" max="334" width="14.85546875" bestFit="1" customWidth="1"/>
    <col min="335" max="335" width="18.7109375" bestFit="1" customWidth="1"/>
    <col min="336" max="336" width="21.5703125" bestFit="1" customWidth="1"/>
    <col min="337" max="337" width="14.85546875" bestFit="1" customWidth="1"/>
    <col min="338" max="338" width="18.42578125" bestFit="1" customWidth="1"/>
    <col min="339" max="339" width="21.5703125" bestFit="1" customWidth="1"/>
    <col min="340" max="340" width="14.85546875" bestFit="1" customWidth="1"/>
    <col min="341" max="341" width="15.140625" bestFit="1" customWidth="1"/>
    <col min="342" max="342" width="21.5703125" bestFit="1" customWidth="1"/>
    <col min="343" max="343" width="14.85546875" bestFit="1" customWidth="1"/>
    <col min="344" max="344" width="15.140625" bestFit="1" customWidth="1"/>
    <col min="345" max="345" width="21.5703125" bestFit="1" customWidth="1"/>
    <col min="346" max="346" width="14.85546875" bestFit="1" customWidth="1"/>
    <col min="347" max="347" width="15.140625" bestFit="1" customWidth="1"/>
    <col min="348" max="348" width="21.5703125" bestFit="1" customWidth="1"/>
    <col min="349" max="349" width="14.85546875" bestFit="1" customWidth="1"/>
    <col min="350" max="350" width="15.7109375" bestFit="1" customWidth="1"/>
    <col min="351" max="351" width="21.5703125" bestFit="1" customWidth="1"/>
    <col min="352" max="352" width="14.85546875" bestFit="1" customWidth="1"/>
    <col min="353" max="353" width="17.85546875" bestFit="1" customWidth="1"/>
    <col min="354" max="354" width="21.5703125" bestFit="1" customWidth="1"/>
    <col min="355" max="355" width="14.85546875" bestFit="1" customWidth="1"/>
    <col min="356" max="356" width="15.140625" bestFit="1" customWidth="1"/>
    <col min="357" max="357" width="21.5703125" bestFit="1" customWidth="1"/>
    <col min="358" max="358" width="14.85546875" bestFit="1" customWidth="1"/>
    <col min="359" max="359" width="32.7109375" bestFit="1" customWidth="1"/>
    <col min="360" max="360" width="39.140625" bestFit="1" customWidth="1"/>
    <col min="361" max="361" width="32.42578125" bestFit="1" customWidth="1"/>
    <col min="362" max="362" width="15.7109375" bestFit="1" customWidth="1"/>
    <col min="363" max="363" width="21.5703125" bestFit="1" customWidth="1"/>
    <col min="364" max="364" width="14.85546875" bestFit="1" customWidth="1"/>
    <col min="365" max="365" width="28.7109375" bestFit="1" customWidth="1"/>
    <col min="366" max="366" width="35.140625" bestFit="1" customWidth="1"/>
    <col min="367" max="367" width="28.42578125" bestFit="1" customWidth="1"/>
    <col min="368" max="368" width="15.140625" bestFit="1" customWidth="1"/>
    <col min="369" max="369" width="21.5703125" bestFit="1" customWidth="1"/>
    <col min="370" max="370" width="14.85546875" bestFit="1" customWidth="1"/>
    <col min="371" max="371" width="22.140625" bestFit="1" customWidth="1"/>
    <col min="372" max="372" width="28.42578125" bestFit="1" customWidth="1"/>
    <col min="373" max="373" width="21.85546875" bestFit="1" customWidth="1"/>
    <col min="374" max="374" width="20.140625" bestFit="1" customWidth="1"/>
    <col min="375" max="375" width="26.5703125" bestFit="1" customWidth="1"/>
    <col min="376" max="376" width="19.85546875" bestFit="1" customWidth="1"/>
  </cols>
  <sheetData>
    <row r="1" spans="1:33" x14ac:dyDescent="0.25">
      <c r="A1" s="6" t="s">
        <v>180</v>
      </c>
      <c r="B1" t="s" vm="3">
        <v>200</v>
      </c>
    </row>
    <row r="3" spans="1:33" x14ac:dyDescent="0.25">
      <c r="B3" s="6" t="s">
        <v>175</v>
      </c>
    </row>
    <row r="4" spans="1:33" ht="57" customHeight="1" x14ac:dyDescent="0.25">
      <c r="B4" s="27" t="s">
        <v>173</v>
      </c>
      <c r="C4" s="27"/>
      <c r="D4" s="27"/>
      <c r="E4" s="27"/>
      <c r="F4" s="27" t="s">
        <v>172</v>
      </c>
      <c r="G4" s="27"/>
      <c r="H4" s="27"/>
      <c r="I4" s="27"/>
      <c r="J4" s="72" t="s">
        <v>159</v>
      </c>
      <c r="K4" s="72"/>
      <c r="L4" s="72"/>
      <c r="M4" s="72"/>
      <c r="N4" s="27" t="s">
        <v>13</v>
      </c>
      <c r="O4" s="27"/>
      <c r="P4" s="27"/>
      <c r="Q4" s="27"/>
      <c r="R4" s="72" t="s">
        <v>36</v>
      </c>
      <c r="S4" s="72"/>
      <c r="T4" s="72"/>
      <c r="U4" s="72"/>
      <c r="V4" s="27" t="s">
        <v>52</v>
      </c>
      <c r="W4" s="27"/>
      <c r="X4" s="27"/>
      <c r="Y4" s="27"/>
      <c r="Z4" s="27" t="s">
        <v>174</v>
      </c>
      <c r="AA4" s="27"/>
      <c r="AB4" s="27"/>
      <c r="AC4" s="27"/>
      <c r="AD4" s="28" t="s">
        <v>176</v>
      </c>
      <c r="AE4" s="28" t="s">
        <v>178</v>
      </c>
      <c r="AF4" s="28" t="s">
        <v>176</v>
      </c>
      <c r="AG4" s="95" t="s">
        <v>176</v>
      </c>
    </row>
    <row r="5" spans="1:33" ht="60" x14ac:dyDescent="0.25">
      <c r="A5" s="6" t="s">
        <v>164</v>
      </c>
      <c r="B5" s="28" t="s">
        <v>177</v>
      </c>
      <c r="C5" s="28" t="s">
        <v>179</v>
      </c>
      <c r="D5" s="28" t="s">
        <v>177</v>
      </c>
      <c r="E5" s="72" t="s">
        <v>177</v>
      </c>
      <c r="F5" s="28" t="s">
        <v>177</v>
      </c>
      <c r="G5" s="28" t="s">
        <v>179</v>
      </c>
      <c r="H5" s="28" t="s">
        <v>177</v>
      </c>
      <c r="I5" s="72" t="s">
        <v>177</v>
      </c>
      <c r="J5" t="s">
        <v>177</v>
      </c>
      <c r="K5" t="s">
        <v>179</v>
      </c>
      <c r="L5" t="s">
        <v>177</v>
      </c>
      <c r="M5" t="s">
        <v>177</v>
      </c>
      <c r="N5" s="28" t="s">
        <v>177</v>
      </c>
      <c r="O5" s="28" t="s">
        <v>179</v>
      </c>
      <c r="P5" s="28" t="s">
        <v>177</v>
      </c>
      <c r="Q5" s="72" t="s">
        <v>177</v>
      </c>
      <c r="R5" t="s">
        <v>177</v>
      </c>
      <c r="S5" t="s">
        <v>179</v>
      </c>
      <c r="T5" t="s">
        <v>177</v>
      </c>
      <c r="U5" t="s">
        <v>177</v>
      </c>
      <c r="V5" s="28" t="s">
        <v>177</v>
      </c>
      <c r="W5" s="28" t="s">
        <v>179</v>
      </c>
      <c r="X5" s="28" t="s">
        <v>177</v>
      </c>
      <c r="Y5" s="72" t="s">
        <v>177</v>
      </c>
      <c r="Z5" s="28" t="s">
        <v>177</v>
      </c>
      <c r="AA5" s="28" t="s">
        <v>179</v>
      </c>
      <c r="AB5" s="28" t="s">
        <v>177</v>
      </c>
      <c r="AC5" s="72" t="s">
        <v>177</v>
      </c>
      <c r="AD5" s="28"/>
      <c r="AE5" s="28"/>
      <c r="AF5" s="28"/>
      <c r="AG5" s="73"/>
    </row>
    <row r="6" spans="1:33" x14ac:dyDescent="0.25">
      <c r="A6" s="3" t="s">
        <v>148</v>
      </c>
      <c r="B6" s="27"/>
      <c r="C6" s="27">
        <v>2</v>
      </c>
      <c r="D6" s="27"/>
      <c r="E6" s="27"/>
      <c r="F6" s="27"/>
      <c r="G6" s="27"/>
      <c r="H6" s="27"/>
      <c r="I6" s="27"/>
      <c r="J6" s="27"/>
      <c r="K6" s="27"/>
      <c r="L6" s="27">
        <v>1</v>
      </c>
      <c r="M6" s="27"/>
      <c r="N6" s="27"/>
      <c r="O6" s="27"/>
      <c r="P6" s="27"/>
      <c r="Q6" s="27"/>
      <c r="R6" s="27"/>
      <c r="S6" s="27"/>
      <c r="T6" s="27"/>
      <c r="U6" s="27"/>
      <c r="V6" s="27"/>
      <c r="W6" s="27"/>
      <c r="X6" s="27"/>
      <c r="Y6" s="27"/>
      <c r="Z6" s="27"/>
      <c r="AA6" s="27"/>
      <c r="AB6" s="27"/>
      <c r="AC6" s="27"/>
      <c r="AD6" s="27"/>
      <c r="AE6" s="27">
        <v>2</v>
      </c>
      <c r="AF6" s="27">
        <v>1</v>
      </c>
      <c r="AG6" s="27"/>
    </row>
    <row r="7" spans="1:33" x14ac:dyDescent="0.25">
      <c r="A7" s="3" t="s">
        <v>321</v>
      </c>
      <c r="B7" s="27"/>
      <c r="C7" s="27">
        <v>4</v>
      </c>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v>4</v>
      </c>
      <c r="AF7" s="27"/>
      <c r="AG7" s="27"/>
    </row>
    <row r="8" spans="1:33" x14ac:dyDescent="0.25">
      <c r="A8" s="3" t="s">
        <v>14</v>
      </c>
      <c r="B8" s="27"/>
      <c r="C8" s="27"/>
      <c r="D8" s="27"/>
      <c r="E8" s="27">
        <v>2</v>
      </c>
      <c r="F8" s="27"/>
      <c r="G8" s="27"/>
      <c r="H8" s="27"/>
      <c r="I8" s="27"/>
      <c r="J8" s="27"/>
      <c r="K8" s="27"/>
      <c r="L8" s="27"/>
      <c r="M8" s="27"/>
      <c r="N8" s="27"/>
      <c r="O8" s="27"/>
      <c r="P8" s="27"/>
      <c r="Q8" s="27"/>
      <c r="R8" s="27"/>
      <c r="S8" s="27"/>
      <c r="T8" s="27"/>
      <c r="U8" s="27"/>
      <c r="V8" s="27"/>
      <c r="W8" s="27"/>
      <c r="X8" s="27"/>
      <c r="Y8" s="27"/>
      <c r="Z8" s="27"/>
      <c r="AA8" s="27"/>
      <c r="AB8" s="27"/>
      <c r="AC8" s="27">
        <v>1</v>
      </c>
      <c r="AD8" s="27"/>
      <c r="AE8" s="27"/>
      <c r="AF8" s="27"/>
      <c r="AG8" s="27">
        <v>3</v>
      </c>
    </row>
    <row r="9" spans="1:33" x14ac:dyDescent="0.25">
      <c r="A9" s="3" t="s">
        <v>154</v>
      </c>
      <c r="B9" s="27"/>
      <c r="C9" s="27">
        <v>4</v>
      </c>
      <c r="D9" s="27"/>
      <c r="E9" s="27"/>
      <c r="F9" s="27"/>
      <c r="G9" s="27"/>
      <c r="H9" s="27"/>
      <c r="I9" s="27"/>
      <c r="J9" s="27"/>
      <c r="K9" s="27"/>
      <c r="L9" s="27">
        <v>1</v>
      </c>
      <c r="M9" s="27"/>
      <c r="N9" s="27"/>
      <c r="O9" s="27"/>
      <c r="P9" s="27"/>
      <c r="Q9" s="27"/>
      <c r="R9" s="27"/>
      <c r="S9" s="27"/>
      <c r="T9" s="27"/>
      <c r="U9" s="27"/>
      <c r="V9" s="27"/>
      <c r="W9" s="27"/>
      <c r="X9" s="27"/>
      <c r="Y9" s="27"/>
      <c r="Z9" s="27">
        <v>1</v>
      </c>
      <c r="AA9" s="27"/>
      <c r="AB9" s="27"/>
      <c r="AC9" s="27"/>
      <c r="AD9" s="27">
        <v>1</v>
      </c>
      <c r="AE9" s="27">
        <v>4</v>
      </c>
      <c r="AF9" s="27">
        <v>1</v>
      </c>
      <c r="AG9" s="27"/>
    </row>
    <row r="10" spans="1:33" x14ac:dyDescent="0.25">
      <c r="A10" s="3" t="s">
        <v>27</v>
      </c>
      <c r="B10" s="27"/>
      <c r="C10" s="27"/>
      <c r="D10" s="27"/>
      <c r="E10" s="27"/>
      <c r="F10" s="27"/>
      <c r="G10" s="27"/>
      <c r="H10" s="27"/>
      <c r="I10" s="27"/>
      <c r="J10" s="27"/>
      <c r="K10" s="27"/>
      <c r="L10" s="27"/>
      <c r="M10" s="27"/>
      <c r="N10" s="27">
        <v>1</v>
      </c>
      <c r="O10" s="27"/>
      <c r="P10" s="27"/>
      <c r="Q10" s="27"/>
      <c r="R10" s="27"/>
      <c r="S10" s="27"/>
      <c r="T10" s="27"/>
      <c r="U10" s="27"/>
      <c r="V10" s="27"/>
      <c r="W10" s="27"/>
      <c r="X10" s="27"/>
      <c r="Y10" s="27">
        <v>1</v>
      </c>
      <c r="Z10" s="27"/>
      <c r="AA10" s="27"/>
      <c r="AB10" s="27"/>
      <c r="AC10" s="27">
        <v>2</v>
      </c>
      <c r="AD10" s="27">
        <v>1</v>
      </c>
      <c r="AE10" s="27"/>
      <c r="AF10" s="27"/>
      <c r="AG10" s="27">
        <v>3</v>
      </c>
    </row>
    <row r="11" spans="1:33" x14ac:dyDescent="0.25">
      <c r="A11" s="3" t="s">
        <v>23</v>
      </c>
      <c r="B11" s="27"/>
      <c r="C11" s="27"/>
      <c r="D11" s="27"/>
      <c r="E11" s="27">
        <v>2</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v>2</v>
      </c>
    </row>
    <row r="12" spans="1:33" x14ac:dyDescent="0.25">
      <c r="A12" s="3" t="s">
        <v>30</v>
      </c>
      <c r="B12" s="27"/>
      <c r="C12" s="27">
        <v>3</v>
      </c>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v>3</v>
      </c>
      <c r="AF12" s="27"/>
      <c r="AG12" s="27"/>
    </row>
    <row r="13" spans="1:33" x14ac:dyDescent="0.25">
      <c r="A13" s="3" t="s">
        <v>20</v>
      </c>
      <c r="B13" s="27"/>
      <c r="C13" s="27"/>
      <c r="D13" s="27"/>
      <c r="E13" s="27"/>
      <c r="F13" s="27"/>
      <c r="G13" s="27"/>
      <c r="H13" s="27"/>
      <c r="I13" s="27"/>
      <c r="J13" s="27"/>
      <c r="K13" s="27"/>
      <c r="L13" s="27"/>
      <c r="M13" s="27"/>
      <c r="N13" s="27">
        <v>1</v>
      </c>
      <c r="O13" s="27"/>
      <c r="P13" s="27"/>
      <c r="Q13" s="27"/>
      <c r="R13" s="27">
        <v>1</v>
      </c>
      <c r="S13" s="27"/>
      <c r="T13" s="27"/>
      <c r="U13" s="27"/>
      <c r="V13" s="27"/>
      <c r="W13" s="27"/>
      <c r="X13" s="27"/>
      <c r="Y13" s="27"/>
      <c r="Z13" s="27"/>
      <c r="AA13" s="27"/>
      <c r="AB13" s="27"/>
      <c r="AC13" s="27"/>
      <c r="AD13" s="27">
        <v>2</v>
      </c>
      <c r="AE13" s="27"/>
      <c r="AF13" s="27"/>
      <c r="AG13" s="27"/>
    </row>
    <row r="14" spans="1:33" x14ac:dyDescent="0.25">
      <c r="A14" s="3" t="s">
        <v>147</v>
      </c>
      <c r="B14" s="27"/>
      <c r="C14" s="27"/>
      <c r="D14" s="27"/>
      <c r="E14" s="27"/>
      <c r="F14" s="27"/>
      <c r="G14" s="27"/>
      <c r="H14" s="27"/>
      <c r="I14" s="27"/>
      <c r="J14" s="27"/>
      <c r="K14" s="27"/>
      <c r="L14" s="27"/>
      <c r="M14" s="27"/>
      <c r="N14" s="27">
        <v>1</v>
      </c>
      <c r="O14" s="27"/>
      <c r="P14" s="27"/>
      <c r="Q14" s="27"/>
      <c r="R14" s="27"/>
      <c r="S14" s="27"/>
      <c r="T14" s="27"/>
      <c r="U14" s="27"/>
      <c r="V14" s="27"/>
      <c r="W14" s="27"/>
      <c r="X14" s="27"/>
      <c r="Y14" s="27"/>
      <c r="Z14" s="27"/>
      <c r="AA14" s="27"/>
      <c r="AB14" s="27"/>
      <c r="AC14" s="27"/>
      <c r="AD14" s="27">
        <v>1</v>
      </c>
      <c r="AE14" s="27"/>
      <c r="AF14" s="27"/>
      <c r="AG14" s="27"/>
    </row>
    <row r="15" spans="1:33" x14ac:dyDescent="0.25">
      <c r="A15" s="3" t="s">
        <v>41</v>
      </c>
      <c r="B15" s="27"/>
      <c r="C15" s="27">
        <v>2</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v>2</v>
      </c>
      <c r="AF15" s="27"/>
      <c r="AG15" s="27"/>
    </row>
    <row r="16" spans="1:33" x14ac:dyDescent="0.25">
      <c r="A16" s="3" t="s">
        <v>33</v>
      </c>
      <c r="B16" s="27"/>
      <c r="C16" s="27"/>
      <c r="D16" s="27"/>
      <c r="E16" s="27">
        <v>2</v>
      </c>
      <c r="F16" s="27"/>
      <c r="G16" s="27"/>
      <c r="H16" s="27"/>
      <c r="I16" s="27">
        <v>3</v>
      </c>
      <c r="J16" s="27"/>
      <c r="K16" s="27"/>
      <c r="L16" s="27"/>
      <c r="M16" s="27"/>
      <c r="N16" s="27"/>
      <c r="O16" s="27"/>
      <c r="P16" s="27"/>
      <c r="Q16" s="27"/>
      <c r="R16" s="27"/>
      <c r="S16" s="27"/>
      <c r="T16" s="27"/>
      <c r="U16" s="27"/>
      <c r="V16" s="27"/>
      <c r="W16" s="27"/>
      <c r="X16" s="27"/>
      <c r="Y16" s="27">
        <v>2</v>
      </c>
      <c r="Z16" s="27">
        <v>1</v>
      </c>
      <c r="AA16" s="27"/>
      <c r="AB16" s="27"/>
      <c r="AC16" s="27">
        <v>2</v>
      </c>
      <c r="AD16" s="27">
        <v>1</v>
      </c>
      <c r="AE16" s="27"/>
      <c r="AF16" s="27"/>
      <c r="AG16" s="27">
        <v>9</v>
      </c>
    </row>
    <row r="17" spans="1:33" x14ac:dyDescent="0.25">
      <c r="A17" s="3" t="s">
        <v>125</v>
      </c>
      <c r="B17" s="27"/>
      <c r="C17" s="27">
        <v>15</v>
      </c>
      <c r="D17" s="27"/>
      <c r="E17" s="27">
        <v>6</v>
      </c>
      <c r="F17" s="27"/>
      <c r="G17" s="27"/>
      <c r="H17" s="27"/>
      <c r="I17" s="27">
        <v>3</v>
      </c>
      <c r="J17" s="27"/>
      <c r="K17" s="27"/>
      <c r="L17" s="27">
        <v>2</v>
      </c>
      <c r="M17" s="27"/>
      <c r="N17" s="27">
        <v>3</v>
      </c>
      <c r="O17" s="27"/>
      <c r="P17" s="27"/>
      <c r="Q17" s="27"/>
      <c r="R17" s="27">
        <v>1</v>
      </c>
      <c r="S17" s="27"/>
      <c r="T17" s="27"/>
      <c r="U17" s="27"/>
      <c r="V17" s="27"/>
      <c r="W17" s="27"/>
      <c r="X17" s="27"/>
      <c r="Y17" s="27">
        <v>3</v>
      </c>
      <c r="Z17" s="27">
        <v>2</v>
      </c>
      <c r="AA17" s="27"/>
      <c r="AB17" s="27"/>
      <c r="AC17" s="27">
        <v>5</v>
      </c>
      <c r="AD17" s="27">
        <v>6</v>
      </c>
      <c r="AE17" s="27">
        <v>15</v>
      </c>
      <c r="AF17" s="27">
        <v>2</v>
      </c>
      <c r="AG17" s="27">
        <v>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M34"/>
  <sheetViews>
    <sheetView zoomScale="80" zoomScaleNormal="80" workbookViewId="0">
      <pane xSplit="1" ySplit="2" topLeftCell="B3" activePane="bottomRight" state="frozen"/>
      <selection activeCell="B15" sqref="B15"/>
      <selection pane="topRight" activeCell="B15" sqref="B15"/>
      <selection pane="bottomLeft" activeCell="B15" sqref="B15"/>
      <selection pane="bottomRight" activeCell="B15" sqref="B15"/>
    </sheetView>
  </sheetViews>
  <sheetFormatPr defaultRowHeight="15" x14ac:dyDescent="0.25"/>
  <cols>
    <col min="1" max="1" width="29" customWidth="1"/>
    <col min="2" max="2" width="14" customWidth="1"/>
    <col min="3" max="3" width="17" customWidth="1"/>
    <col min="4" max="4" width="12.85546875" customWidth="1"/>
    <col min="5" max="6" width="14.85546875" customWidth="1"/>
    <col min="7" max="7" width="20.5703125" customWidth="1"/>
    <col min="8" max="8" width="22.85546875" customWidth="1"/>
    <col min="9" max="9" width="22.140625" customWidth="1"/>
    <col min="10" max="10" width="25" customWidth="1"/>
    <col min="11" max="11" width="17.5703125" customWidth="1"/>
    <col min="12" max="12" width="21.7109375" customWidth="1"/>
    <col min="13" max="13" width="23" bestFit="1" customWidth="1"/>
    <col min="14" max="14" width="11.7109375" customWidth="1"/>
    <col min="15" max="15" width="10" customWidth="1"/>
    <col min="16" max="16" width="16.140625" customWidth="1"/>
    <col min="17" max="17" width="26.5703125" customWidth="1"/>
    <col min="18" max="18" width="7.140625" customWidth="1"/>
    <col min="19" max="19" width="17.28515625" bestFit="1" customWidth="1"/>
    <col min="20" max="20" width="11.7109375" customWidth="1"/>
    <col min="21" max="21" width="6.28515625" customWidth="1"/>
    <col min="22" max="22" width="21" bestFit="1" customWidth="1"/>
    <col min="23" max="23" width="6.28515625" customWidth="1"/>
    <col min="24" max="24" width="7.140625" bestFit="1" customWidth="1"/>
    <col min="25" max="26" width="11.140625" customWidth="1"/>
    <col min="27" max="27" width="16.7109375" customWidth="1"/>
    <col min="28" max="29" width="8.5703125" customWidth="1"/>
    <col min="30" max="30" width="10" customWidth="1"/>
    <col min="31" max="31" width="21.5703125" customWidth="1"/>
    <col min="32" max="32" width="15.140625" customWidth="1"/>
    <col min="33" max="33" width="14.85546875" bestFit="1" customWidth="1"/>
    <col min="34" max="34" width="11.7109375" customWidth="1"/>
    <col min="35" max="35" width="26.5703125" customWidth="1"/>
    <col min="36" max="36" width="13.5703125" customWidth="1"/>
    <col min="37" max="37" width="19.85546875" customWidth="1"/>
    <col min="38" max="38" width="16.7109375" customWidth="1"/>
    <col min="39" max="39" width="14.85546875" customWidth="1"/>
    <col min="40" max="40" width="17.85546875" customWidth="1"/>
    <col min="41" max="41" width="21.5703125" bestFit="1" customWidth="1"/>
    <col min="42" max="42" width="14.85546875" customWidth="1"/>
    <col min="43" max="43" width="15.140625" customWidth="1"/>
    <col min="44" max="44" width="21.5703125" customWidth="1"/>
    <col min="45" max="45" width="14.85546875" customWidth="1"/>
    <col min="46" max="46" width="15.140625" customWidth="1"/>
    <col min="47" max="47" width="21.5703125" bestFit="1" customWidth="1"/>
    <col min="48" max="48" width="14.85546875" bestFit="1" customWidth="1"/>
    <col min="49" max="49" width="20.140625" bestFit="1" customWidth="1"/>
    <col min="50" max="50" width="26.5703125" bestFit="1" customWidth="1"/>
    <col min="51" max="51" width="19.85546875" bestFit="1" customWidth="1"/>
    <col min="52" max="52" width="15.140625" bestFit="1" customWidth="1"/>
    <col min="53" max="53" width="21.5703125" bestFit="1" customWidth="1"/>
    <col min="54" max="54" width="14.85546875" bestFit="1" customWidth="1"/>
    <col min="55" max="55" width="15.7109375" bestFit="1" customWidth="1"/>
    <col min="56" max="56" width="21.5703125" bestFit="1" customWidth="1"/>
    <col min="57" max="57" width="14.85546875" bestFit="1" customWidth="1"/>
    <col min="58" max="58" width="17.85546875" bestFit="1" customWidth="1"/>
    <col min="59" max="59" width="21.5703125" bestFit="1" customWidth="1"/>
    <col min="60" max="60" width="14.85546875" bestFit="1" customWidth="1"/>
    <col min="61" max="61" width="15.140625" bestFit="1" customWidth="1"/>
    <col min="62" max="62" width="21.5703125" bestFit="1" customWidth="1"/>
    <col min="63" max="63" width="14.85546875" bestFit="1" customWidth="1"/>
    <col min="64" max="64" width="33.5703125" bestFit="1" customWidth="1"/>
    <col min="65" max="65" width="40" bestFit="1" customWidth="1"/>
    <col min="66" max="66" width="33.28515625" bestFit="1" customWidth="1"/>
    <col min="67" max="67" width="16.7109375" bestFit="1" customWidth="1"/>
    <col min="68" max="68" width="21.5703125" bestFit="1" customWidth="1"/>
    <col min="69" max="69" width="14.85546875" bestFit="1" customWidth="1"/>
    <col min="70" max="70" width="18.7109375" bestFit="1" customWidth="1"/>
    <col min="71" max="71" width="21.5703125" bestFit="1" customWidth="1"/>
    <col min="72" max="72" width="14.85546875" bestFit="1" customWidth="1"/>
    <col min="73" max="73" width="18.42578125" bestFit="1" customWidth="1"/>
    <col min="74" max="74" width="21.5703125" bestFit="1" customWidth="1"/>
    <col min="75" max="75" width="14.85546875" bestFit="1" customWidth="1"/>
    <col min="76" max="76" width="15.140625" bestFit="1" customWidth="1"/>
    <col min="77" max="77" width="21.5703125" bestFit="1" customWidth="1"/>
    <col min="78" max="78" width="14.85546875" bestFit="1" customWidth="1"/>
    <col min="79" max="79" width="15.140625" bestFit="1" customWidth="1"/>
    <col min="80" max="80" width="21.5703125" bestFit="1" customWidth="1"/>
    <col min="81" max="81" width="14.85546875" bestFit="1" customWidth="1"/>
    <col min="82" max="82" width="15.140625" bestFit="1" customWidth="1"/>
    <col min="83" max="83" width="21.5703125" bestFit="1" customWidth="1"/>
    <col min="84" max="84" width="14.85546875" bestFit="1" customWidth="1"/>
    <col min="85" max="85" width="15.7109375" bestFit="1" customWidth="1"/>
    <col min="86" max="86" width="21.5703125" bestFit="1" customWidth="1"/>
    <col min="87" max="87" width="14.85546875" bestFit="1" customWidth="1"/>
    <col min="88" max="88" width="17.85546875" bestFit="1" customWidth="1"/>
    <col min="89" max="89" width="21.5703125" bestFit="1" customWidth="1"/>
    <col min="90" max="90" width="14.85546875" bestFit="1" customWidth="1"/>
    <col min="91" max="91" width="15.140625" bestFit="1" customWidth="1"/>
    <col min="92" max="92" width="21.5703125" bestFit="1" customWidth="1"/>
    <col min="93" max="93" width="14.85546875" bestFit="1" customWidth="1"/>
    <col min="94" max="94" width="29.85546875" bestFit="1" customWidth="1"/>
    <col min="95" max="95" width="36.140625" bestFit="1" customWidth="1"/>
    <col min="96" max="96" width="29.42578125" bestFit="1" customWidth="1"/>
    <col min="97" max="97" width="20.28515625" bestFit="1" customWidth="1"/>
    <col min="98" max="98" width="21.5703125" bestFit="1" customWidth="1"/>
    <col min="99" max="99" width="14.85546875" bestFit="1" customWidth="1"/>
    <col min="100" max="100" width="18.7109375" bestFit="1" customWidth="1"/>
    <col min="101" max="101" width="21.5703125" bestFit="1" customWidth="1"/>
    <col min="102" max="102" width="14.85546875" bestFit="1" customWidth="1"/>
    <col min="103" max="103" width="18.42578125" bestFit="1" customWidth="1"/>
    <col min="104" max="104" width="21.5703125" bestFit="1" customWidth="1"/>
    <col min="105" max="105" width="14.85546875" bestFit="1" customWidth="1"/>
    <col min="106" max="106" width="15.140625" bestFit="1" customWidth="1"/>
    <col min="107" max="107" width="21.5703125" bestFit="1" customWidth="1"/>
    <col min="108" max="108" width="14.85546875" bestFit="1" customWidth="1"/>
    <col min="109" max="109" width="15.140625" bestFit="1" customWidth="1"/>
    <col min="110" max="110" width="21.5703125" bestFit="1" customWidth="1"/>
    <col min="111" max="111" width="14.85546875" bestFit="1" customWidth="1"/>
    <col min="112" max="112" width="15.140625" bestFit="1" customWidth="1"/>
    <col min="113" max="113" width="21.5703125" bestFit="1" customWidth="1"/>
    <col min="114" max="114" width="14.85546875" bestFit="1" customWidth="1"/>
    <col min="115" max="115" width="15.7109375" bestFit="1" customWidth="1"/>
    <col min="116" max="116" width="21.5703125" bestFit="1" customWidth="1"/>
    <col min="117" max="117" width="14.85546875" bestFit="1" customWidth="1"/>
    <col min="118" max="118" width="17.85546875" bestFit="1" customWidth="1"/>
    <col min="119" max="119" width="21.5703125" bestFit="1" customWidth="1"/>
    <col min="120" max="120" width="14.85546875" bestFit="1" customWidth="1"/>
    <col min="121" max="121" width="15.140625" bestFit="1" customWidth="1"/>
    <col min="122" max="122" width="21.5703125" bestFit="1" customWidth="1"/>
    <col min="123" max="123" width="14.85546875" bestFit="1" customWidth="1"/>
    <col min="124" max="124" width="33.28515625" bestFit="1" customWidth="1"/>
    <col min="125" max="125" width="39.7109375" bestFit="1" customWidth="1"/>
    <col min="126" max="126" width="33" bestFit="1" customWidth="1"/>
    <col min="127" max="127" width="15.140625" bestFit="1" customWidth="1"/>
    <col min="128" max="128" width="21.5703125" bestFit="1" customWidth="1"/>
    <col min="129" max="129" width="14.85546875" bestFit="1" customWidth="1"/>
    <col min="130" max="130" width="18.7109375" bestFit="1" customWidth="1"/>
    <col min="131" max="131" width="21.5703125" bestFit="1" customWidth="1"/>
    <col min="132" max="132" width="14.85546875" bestFit="1" customWidth="1"/>
    <col min="133" max="133" width="18.42578125" bestFit="1" customWidth="1"/>
    <col min="134" max="134" width="21.5703125" bestFit="1" customWidth="1"/>
    <col min="135" max="135" width="14.85546875" bestFit="1" customWidth="1"/>
    <col min="136" max="136" width="15.140625" bestFit="1" customWidth="1"/>
    <col min="137" max="137" width="21.5703125" bestFit="1" customWidth="1"/>
    <col min="138" max="138" width="14.85546875" bestFit="1" customWidth="1"/>
    <col min="139" max="139" width="15.140625" bestFit="1" customWidth="1"/>
    <col min="140" max="140" width="21.5703125" bestFit="1" customWidth="1"/>
    <col min="141" max="141" width="14.85546875" bestFit="1" customWidth="1"/>
    <col min="142" max="142" width="15.140625" bestFit="1" customWidth="1"/>
    <col min="143" max="143" width="21.5703125" bestFit="1" customWidth="1"/>
    <col min="144" max="144" width="14.85546875" bestFit="1" customWidth="1"/>
    <col min="145" max="145" width="15.7109375" bestFit="1" customWidth="1"/>
    <col min="146" max="146" width="21.5703125" bestFit="1" customWidth="1"/>
    <col min="147" max="147" width="14.85546875" bestFit="1" customWidth="1"/>
    <col min="148" max="148" width="17.85546875" bestFit="1" customWidth="1"/>
    <col min="149" max="149" width="21.5703125" bestFit="1" customWidth="1"/>
    <col min="150" max="150" width="14.85546875" bestFit="1" customWidth="1"/>
    <col min="151" max="151" width="15.140625" bestFit="1" customWidth="1"/>
    <col min="152" max="152" width="21.5703125" bestFit="1" customWidth="1"/>
    <col min="153" max="153" width="14.85546875" bestFit="1" customWidth="1"/>
    <col min="154" max="154" width="26.42578125" bestFit="1" customWidth="1"/>
    <col min="155" max="155" width="32.7109375" bestFit="1" customWidth="1"/>
    <col min="156" max="156" width="26.140625" bestFit="1" customWidth="1"/>
    <col min="157" max="157" width="15.140625" bestFit="1" customWidth="1"/>
    <col min="158" max="158" width="21.5703125" bestFit="1" customWidth="1"/>
    <col min="159" max="159" width="14.85546875" bestFit="1" customWidth="1"/>
    <col min="160" max="160" width="18.7109375" bestFit="1" customWidth="1"/>
    <col min="161" max="161" width="21.5703125" bestFit="1" customWidth="1"/>
    <col min="162" max="162" width="14.85546875" bestFit="1" customWidth="1"/>
    <col min="163" max="163" width="18.42578125" bestFit="1" customWidth="1"/>
    <col min="164" max="164" width="21.5703125" bestFit="1" customWidth="1"/>
    <col min="165" max="165" width="14.85546875" bestFit="1" customWidth="1"/>
    <col min="166" max="166" width="15.140625" bestFit="1" customWidth="1"/>
    <col min="167" max="167" width="21.5703125" bestFit="1" customWidth="1"/>
    <col min="168" max="168" width="14.85546875" bestFit="1" customWidth="1"/>
    <col min="169" max="169" width="15.140625" bestFit="1" customWidth="1"/>
    <col min="170" max="170" width="21.5703125" bestFit="1" customWidth="1"/>
    <col min="171" max="171" width="14.85546875" bestFit="1" customWidth="1"/>
    <col min="172" max="172" width="15.140625" bestFit="1" customWidth="1"/>
    <col min="173" max="173" width="21.5703125" bestFit="1" customWidth="1"/>
    <col min="174" max="174" width="14.85546875" bestFit="1" customWidth="1"/>
    <col min="175" max="175" width="15.7109375" bestFit="1" customWidth="1"/>
    <col min="176" max="176" width="21.5703125" bestFit="1" customWidth="1"/>
    <col min="177" max="177" width="14.85546875" bestFit="1" customWidth="1"/>
    <col min="178" max="178" width="17.85546875" bestFit="1" customWidth="1"/>
    <col min="179" max="179" width="21.5703125" bestFit="1" customWidth="1"/>
    <col min="180" max="180" width="14.85546875" bestFit="1" customWidth="1"/>
    <col min="181" max="181" width="15.140625" bestFit="1" customWidth="1"/>
    <col min="182" max="182" width="21.5703125" bestFit="1" customWidth="1"/>
    <col min="183" max="183" width="14.85546875" bestFit="1" customWidth="1"/>
    <col min="184" max="184" width="26.7109375" bestFit="1" customWidth="1"/>
    <col min="185" max="185" width="33" bestFit="1" customWidth="1"/>
    <col min="186" max="186" width="26.42578125" bestFit="1" customWidth="1"/>
    <col min="187" max="187" width="16.7109375" bestFit="1" customWidth="1"/>
    <col min="188" max="188" width="21.5703125" bestFit="1" customWidth="1"/>
    <col min="189" max="189" width="14.85546875" bestFit="1" customWidth="1"/>
    <col min="190" max="190" width="18.7109375" bestFit="1" customWidth="1"/>
    <col min="191" max="191" width="21.5703125" bestFit="1" customWidth="1"/>
    <col min="192" max="192" width="14.85546875" bestFit="1" customWidth="1"/>
    <col min="193" max="193" width="18.42578125" bestFit="1" customWidth="1"/>
    <col min="194" max="194" width="21.5703125" bestFit="1" customWidth="1"/>
    <col min="195" max="195" width="14.85546875" bestFit="1" customWidth="1"/>
    <col min="196" max="196" width="15.140625" bestFit="1" customWidth="1"/>
    <col min="197" max="197" width="21.5703125" bestFit="1" customWidth="1"/>
    <col min="198" max="198" width="14.85546875" bestFit="1" customWidth="1"/>
    <col min="199" max="199" width="15.140625" bestFit="1" customWidth="1"/>
    <col min="200" max="200" width="21.5703125" bestFit="1" customWidth="1"/>
    <col min="201" max="201" width="14.85546875" bestFit="1" customWidth="1"/>
    <col min="202" max="202" width="15.140625" bestFit="1" customWidth="1"/>
    <col min="203" max="203" width="21.5703125" bestFit="1" customWidth="1"/>
    <col min="204" max="204" width="14.85546875" bestFit="1" customWidth="1"/>
    <col min="205" max="205" width="15.7109375" bestFit="1" customWidth="1"/>
    <col min="206" max="206" width="21.5703125" bestFit="1" customWidth="1"/>
    <col min="207" max="207" width="14.85546875" bestFit="1" customWidth="1"/>
    <col min="208" max="208" width="17.85546875" bestFit="1" customWidth="1"/>
    <col min="209" max="209" width="21.5703125" bestFit="1" customWidth="1"/>
    <col min="210" max="210" width="14.85546875" bestFit="1" customWidth="1"/>
    <col min="211" max="211" width="15.140625" bestFit="1" customWidth="1"/>
    <col min="212" max="212" width="21.5703125" bestFit="1" customWidth="1"/>
    <col min="213" max="213" width="14.85546875" bestFit="1" customWidth="1"/>
    <col min="214" max="214" width="29.85546875" bestFit="1" customWidth="1"/>
    <col min="215" max="215" width="36.140625" bestFit="1" customWidth="1"/>
    <col min="216" max="216" width="29.42578125" bestFit="1" customWidth="1"/>
    <col min="217" max="217" width="15.140625" bestFit="1" customWidth="1"/>
    <col min="218" max="218" width="21.5703125" bestFit="1" customWidth="1"/>
    <col min="219" max="219" width="14.85546875" bestFit="1" customWidth="1"/>
    <col min="220" max="220" width="18.7109375" bestFit="1" customWidth="1"/>
    <col min="221" max="221" width="21.5703125" bestFit="1" customWidth="1"/>
    <col min="222" max="222" width="14.85546875" bestFit="1" customWidth="1"/>
    <col min="223" max="223" width="18.42578125" bestFit="1" customWidth="1"/>
    <col min="224" max="224" width="21.5703125" bestFit="1" customWidth="1"/>
    <col min="225" max="225" width="14.85546875" bestFit="1" customWidth="1"/>
    <col min="226" max="226" width="15.140625" bestFit="1" customWidth="1"/>
    <col min="227" max="227" width="21.5703125" bestFit="1" customWidth="1"/>
    <col min="228" max="228" width="14.85546875" bestFit="1" customWidth="1"/>
    <col min="229" max="229" width="15.140625" bestFit="1" customWidth="1"/>
    <col min="230" max="230" width="21.5703125" bestFit="1" customWidth="1"/>
    <col min="231" max="231" width="14.85546875" bestFit="1" customWidth="1"/>
    <col min="232" max="232" width="15.140625" bestFit="1" customWidth="1"/>
    <col min="233" max="233" width="21.5703125" bestFit="1" customWidth="1"/>
    <col min="234" max="234" width="14.85546875" bestFit="1" customWidth="1"/>
    <col min="235" max="235" width="15.7109375" bestFit="1" customWidth="1"/>
    <col min="236" max="236" width="21.5703125" bestFit="1" customWidth="1"/>
    <col min="237" max="237" width="14.85546875" bestFit="1" customWidth="1"/>
    <col min="238" max="238" width="17.85546875" bestFit="1" customWidth="1"/>
    <col min="239" max="239" width="21.5703125" bestFit="1" customWidth="1"/>
    <col min="240" max="240" width="14.85546875" bestFit="1" customWidth="1"/>
    <col min="241" max="241" width="15.140625" bestFit="1" customWidth="1"/>
    <col min="242" max="242" width="21.5703125" bestFit="1" customWidth="1"/>
    <col min="243" max="243" width="14.85546875" bestFit="1" customWidth="1"/>
    <col min="244" max="244" width="26.7109375" bestFit="1" customWidth="1"/>
    <col min="245" max="245" width="33" bestFit="1" customWidth="1"/>
    <col min="246" max="246" width="26.42578125" bestFit="1" customWidth="1"/>
    <col min="247" max="247" width="17.5703125" bestFit="1" customWidth="1"/>
    <col min="248" max="248" width="21.5703125" bestFit="1" customWidth="1"/>
    <col min="249" max="249" width="14.85546875" bestFit="1" customWidth="1"/>
    <col min="250" max="250" width="18.7109375" bestFit="1" customWidth="1"/>
    <col min="251" max="251" width="21.5703125" bestFit="1" customWidth="1"/>
    <col min="252" max="252" width="14.85546875" bestFit="1" customWidth="1"/>
    <col min="253" max="253" width="18.42578125" bestFit="1" customWidth="1"/>
    <col min="254" max="254" width="21.5703125" bestFit="1" customWidth="1"/>
    <col min="255" max="255" width="14.85546875" bestFit="1" customWidth="1"/>
    <col min="256" max="256" width="15.140625" bestFit="1" customWidth="1"/>
    <col min="257" max="257" width="21.5703125" bestFit="1" customWidth="1"/>
    <col min="258" max="258" width="14.85546875" bestFit="1" customWidth="1"/>
    <col min="259" max="259" width="15.140625" bestFit="1" customWidth="1"/>
    <col min="260" max="260" width="21.5703125" bestFit="1" customWidth="1"/>
    <col min="261" max="261" width="14.85546875" bestFit="1" customWidth="1"/>
    <col min="262" max="262" width="15.140625" bestFit="1" customWidth="1"/>
    <col min="263" max="263" width="21.5703125" bestFit="1" customWidth="1"/>
    <col min="264" max="264" width="14.85546875" bestFit="1" customWidth="1"/>
    <col min="265" max="265" width="15.7109375" bestFit="1" customWidth="1"/>
    <col min="266" max="266" width="21.5703125" bestFit="1" customWidth="1"/>
    <col min="267" max="267" width="14.85546875" bestFit="1" customWidth="1"/>
    <col min="268" max="268" width="17.85546875" bestFit="1" customWidth="1"/>
    <col min="269" max="269" width="21.5703125" bestFit="1" customWidth="1"/>
    <col min="270" max="270" width="14.85546875" bestFit="1" customWidth="1"/>
    <col min="271" max="271" width="15.140625" bestFit="1" customWidth="1"/>
    <col min="272" max="272" width="21.5703125" bestFit="1" customWidth="1"/>
    <col min="273" max="273" width="14.85546875" bestFit="1" customWidth="1"/>
    <col min="274" max="274" width="30.7109375" bestFit="1" customWidth="1"/>
    <col min="275" max="275" width="37" bestFit="1" customWidth="1"/>
    <col min="276" max="276" width="30.42578125" bestFit="1" customWidth="1"/>
    <col min="277" max="277" width="16.85546875" bestFit="1" customWidth="1"/>
    <col min="278" max="278" width="21.5703125" bestFit="1" customWidth="1"/>
    <col min="279" max="279" width="14.85546875" bestFit="1" customWidth="1"/>
    <col min="280" max="280" width="18.7109375" bestFit="1" customWidth="1"/>
    <col min="281" max="281" width="21.5703125" bestFit="1" customWidth="1"/>
    <col min="282" max="282" width="14.85546875" bestFit="1" customWidth="1"/>
    <col min="283" max="283" width="18.42578125" bestFit="1" customWidth="1"/>
    <col min="284" max="284" width="21.5703125" bestFit="1" customWidth="1"/>
    <col min="285" max="285" width="14.85546875" bestFit="1" customWidth="1"/>
    <col min="286" max="286" width="15.140625" bestFit="1" customWidth="1"/>
    <col min="287" max="287" width="21.5703125" bestFit="1" customWidth="1"/>
    <col min="288" max="288" width="14.85546875" bestFit="1" customWidth="1"/>
    <col min="289" max="289" width="15.140625" bestFit="1" customWidth="1"/>
    <col min="290" max="290" width="21.5703125" bestFit="1" customWidth="1"/>
    <col min="291" max="291" width="14.85546875" bestFit="1" customWidth="1"/>
    <col min="292" max="292" width="15.140625" bestFit="1" customWidth="1"/>
    <col min="293" max="293" width="21.5703125" bestFit="1" customWidth="1"/>
    <col min="294" max="294" width="14.85546875" bestFit="1" customWidth="1"/>
    <col min="295" max="295" width="15.7109375" bestFit="1" customWidth="1"/>
    <col min="296" max="296" width="21.5703125" bestFit="1" customWidth="1"/>
    <col min="297" max="297" width="14.85546875" bestFit="1" customWidth="1"/>
    <col min="298" max="298" width="17.85546875" bestFit="1" customWidth="1"/>
    <col min="299" max="299" width="21.5703125" bestFit="1" customWidth="1"/>
    <col min="300" max="300" width="14.85546875" bestFit="1" customWidth="1"/>
    <col min="301" max="301" width="15.140625" bestFit="1" customWidth="1"/>
    <col min="302" max="302" width="21.5703125" bestFit="1" customWidth="1"/>
    <col min="303" max="303" width="14.85546875" bestFit="1" customWidth="1"/>
    <col min="304" max="304" width="30" bestFit="1" customWidth="1"/>
    <col min="305" max="305" width="36.28515625" bestFit="1" customWidth="1"/>
    <col min="306" max="306" width="29.7109375" bestFit="1" customWidth="1"/>
    <col min="307" max="307" width="24.7109375" bestFit="1" customWidth="1"/>
    <col min="308" max="308" width="21.5703125" bestFit="1" customWidth="1"/>
    <col min="309" max="309" width="14.85546875" bestFit="1" customWidth="1"/>
    <col min="310" max="310" width="18.7109375" bestFit="1" customWidth="1"/>
    <col min="311" max="311" width="21.5703125" bestFit="1" customWidth="1"/>
    <col min="312" max="312" width="14.85546875" bestFit="1" customWidth="1"/>
    <col min="313" max="313" width="18.42578125" bestFit="1" customWidth="1"/>
    <col min="314" max="314" width="21.5703125" bestFit="1" customWidth="1"/>
    <col min="315" max="315" width="14.85546875" bestFit="1" customWidth="1"/>
    <col min="316" max="316" width="15.140625" bestFit="1" customWidth="1"/>
    <col min="317" max="317" width="21.5703125" bestFit="1" customWidth="1"/>
    <col min="318" max="318" width="14.85546875" bestFit="1" customWidth="1"/>
    <col min="319" max="319" width="15.140625" bestFit="1" customWidth="1"/>
    <col min="320" max="320" width="21.5703125" bestFit="1" customWidth="1"/>
    <col min="321" max="321" width="14.85546875" bestFit="1" customWidth="1"/>
    <col min="322" max="322" width="15.140625" bestFit="1" customWidth="1"/>
    <col min="323" max="323" width="21.5703125" bestFit="1" customWidth="1"/>
    <col min="324" max="324" width="14.85546875" bestFit="1" customWidth="1"/>
    <col min="325" max="325" width="15.7109375" bestFit="1" customWidth="1"/>
    <col min="326" max="326" width="21.5703125" bestFit="1" customWidth="1"/>
    <col min="327" max="327" width="14.85546875" bestFit="1" customWidth="1"/>
    <col min="328" max="328" width="17.85546875" bestFit="1" customWidth="1"/>
    <col min="329" max="329" width="21.5703125" bestFit="1" customWidth="1"/>
    <col min="330" max="330" width="14.85546875" bestFit="1" customWidth="1"/>
    <col min="331" max="331" width="15.140625" bestFit="1" customWidth="1"/>
    <col min="332" max="332" width="21.5703125" bestFit="1" customWidth="1"/>
    <col min="333" max="333" width="14.85546875" bestFit="1" customWidth="1"/>
    <col min="334" max="334" width="37.7109375" bestFit="1" customWidth="1"/>
    <col min="335" max="335" width="44.140625" bestFit="1" customWidth="1"/>
    <col min="336" max="336" width="37.42578125" bestFit="1" customWidth="1"/>
    <col min="337" max="337" width="19.7109375" bestFit="1" customWidth="1"/>
    <col min="338" max="338" width="21.5703125" bestFit="1" customWidth="1"/>
    <col min="339" max="339" width="14.85546875" bestFit="1" customWidth="1"/>
    <col min="340" max="340" width="18.7109375" bestFit="1" customWidth="1"/>
    <col min="341" max="341" width="21.5703125" bestFit="1" customWidth="1"/>
    <col min="342" max="342" width="14.85546875" bestFit="1" customWidth="1"/>
    <col min="343" max="343" width="18.42578125" bestFit="1" customWidth="1"/>
    <col min="344" max="344" width="21.5703125" bestFit="1" customWidth="1"/>
    <col min="345" max="345" width="14.85546875" bestFit="1" customWidth="1"/>
    <col min="346" max="346" width="15.140625" bestFit="1" customWidth="1"/>
    <col min="347" max="347" width="21.5703125" bestFit="1" customWidth="1"/>
    <col min="348" max="348" width="14.85546875" bestFit="1" customWidth="1"/>
    <col min="349" max="349" width="15.140625" bestFit="1" customWidth="1"/>
    <col min="350" max="350" width="21.5703125" bestFit="1" customWidth="1"/>
    <col min="351" max="351" width="14.85546875" bestFit="1" customWidth="1"/>
    <col min="352" max="352" width="15.140625" bestFit="1" customWidth="1"/>
    <col min="353" max="353" width="21.5703125" bestFit="1" customWidth="1"/>
    <col min="354" max="354" width="14.85546875" bestFit="1" customWidth="1"/>
    <col min="355" max="355" width="15.7109375" bestFit="1" customWidth="1"/>
    <col min="356" max="356" width="21.5703125" bestFit="1" customWidth="1"/>
    <col min="357" max="357" width="14.85546875" bestFit="1" customWidth="1"/>
    <col min="358" max="358" width="17.85546875" bestFit="1" customWidth="1"/>
    <col min="359" max="359" width="21.5703125" bestFit="1" customWidth="1"/>
    <col min="360" max="360" width="14.85546875" bestFit="1" customWidth="1"/>
    <col min="361" max="361" width="15.140625" bestFit="1" customWidth="1"/>
    <col min="362" max="362" width="21.5703125" bestFit="1" customWidth="1"/>
    <col min="363" max="363" width="14.85546875" bestFit="1" customWidth="1"/>
    <col min="364" max="364" width="32.7109375" bestFit="1" customWidth="1"/>
    <col min="365" max="365" width="39.140625" bestFit="1" customWidth="1"/>
    <col min="366" max="366" width="32.42578125" bestFit="1" customWidth="1"/>
    <col min="367" max="367" width="15.7109375" bestFit="1" customWidth="1"/>
    <col min="368" max="368" width="21.5703125" bestFit="1" customWidth="1"/>
    <col min="369" max="369" width="14.85546875" bestFit="1" customWidth="1"/>
    <col min="370" max="370" width="28.7109375" bestFit="1" customWidth="1"/>
    <col min="371" max="371" width="35.140625" bestFit="1" customWidth="1"/>
    <col min="372" max="372" width="28.42578125" bestFit="1" customWidth="1"/>
    <col min="373" max="373" width="15.140625" bestFit="1" customWidth="1"/>
    <col min="374" max="374" width="21.5703125" bestFit="1" customWidth="1"/>
    <col min="375" max="375" width="14.85546875" bestFit="1" customWidth="1"/>
    <col min="376" max="376" width="22.140625" bestFit="1" customWidth="1"/>
    <col min="377" max="377" width="28.42578125" bestFit="1" customWidth="1"/>
    <col min="378" max="378" width="21.85546875" bestFit="1" customWidth="1"/>
    <col min="379" max="379" width="20.140625" bestFit="1" customWidth="1"/>
    <col min="380" max="380" width="26.5703125" bestFit="1" customWidth="1"/>
    <col min="381" max="381" width="19.85546875" bestFit="1" customWidth="1"/>
  </cols>
  <sheetData>
    <row r="2" spans="1:13" ht="48" customHeight="1" x14ac:dyDescent="0.25">
      <c r="A2" s="43" t="s">
        <v>184</v>
      </c>
      <c r="B2" s="40" t="s">
        <v>181</v>
      </c>
      <c r="C2" s="40" t="s">
        <v>292</v>
      </c>
      <c r="D2" s="40" t="s">
        <v>172</v>
      </c>
      <c r="E2" s="40" t="s">
        <v>293</v>
      </c>
      <c r="F2" s="40" t="s">
        <v>294</v>
      </c>
      <c r="G2" s="40" t="s">
        <v>52</v>
      </c>
      <c r="H2" s="40" t="s">
        <v>295</v>
      </c>
      <c r="I2" s="40" t="s">
        <v>174</v>
      </c>
      <c r="J2" s="40" t="s">
        <v>296</v>
      </c>
      <c r="K2" s="40" t="s">
        <v>13</v>
      </c>
      <c r="L2" s="40" t="s">
        <v>297</v>
      </c>
      <c r="M2" s="40" t="s">
        <v>185</v>
      </c>
    </row>
    <row r="3" spans="1:13" x14ac:dyDescent="0.25">
      <c r="A3" s="36" t="s">
        <v>148</v>
      </c>
      <c r="B3" s="41">
        <f>IFERROR(GETPIVOTDATA("[Measures].[Count of Tip AD]",Pivot_Leveling!$A$3,"[Tipul_Procedurii].[Procedura]","[Tipul_Procedurii].[Procedura].&amp;[AD complexa]","[Responsabil_achizitie].[Responsabil achizitie]","[Responsabil_achizitie].[Responsabil achizitie].&amp;[ALEXANDRU Anisia]"),0)</f>
        <v>2</v>
      </c>
      <c r="C3" s="41">
        <f>IFERROR(GETPIVOTDATA("[Measures].[Count of Tip procedura 3]",Pivot_Leveling!$A$3,"[Tipul_Procedurii].[Procedura]","[Tipul_Procedurii].[Procedura].&amp;[AD complexa]","[Responsabil_achizitie].[Responsabil achizitie]","[Responsabil_achizitie].[Responsabil achizitie].&amp;[ALEXANDRU Anisia]"),0)</f>
        <v>0</v>
      </c>
      <c r="D3" s="41">
        <f>IFERROR(GETPIVOTDATA("[Measures].[Count of Tip AD]",Pivot_Leveling!$A$3,"[Tipul_Procedurii].[Procedura]","[Tipul_Procedurii].[Procedura].&amp;[AD simpla]","[Responsabil_achizitie].[Responsabil achizitie]","[Responsabil_achizitie].[Responsabil achizitie].&amp;[ALEXANDRU Anisia]"),0)</f>
        <v>0</v>
      </c>
      <c r="E3" s="41">
        <f>IFERROR(GETPIVOTDATA("[Measures].[Count of Tip procedura 3]",Pivot_Leveling!$A$3,"[Tipul_Procedurii].[Procedura]","[Tipul_Procedurii].[Procedura].&amp;[AD simpla]","[Responsabil_achizitie].[Responsabil achizitie]","[Responsabil_achizitie].[Responsabil achizitie].&amp;[ALEXANDRU Anisia]"),0)</f>
        <v>0</v>
      </c>
      <c r="F3" s="41">
        <f>IFERROR(GETPIVOTDATA("[Measures].[Count of Tip procedura]",Pivot_Leveling!$A$3,"[Tipul_Procedurii].[Procedura]","[Tipul_Procedurii].[Procedura].&amp;[Exceptie art. 29 L98/2016]","[Responsabil_achizitie].[Responsabil achizitie]","[Responsabil_achizitie].[Responsabil achizitie].&amp;[ALEXANDRU Anisia]"),0)</f>
        <v>0</v>
      </c>
      <c r="G3" s="41">
        <f>IFERROR(GETPIVOTDATA("[Measures].[Count of Tip procedura]",Pivot_Leveling!$A$3,"[Tipul_Procedurii].[Procedura]","[Tipul_Procedurii].[Procedura].&amp;[Procedura proprie]","[Responsabil_achizitie].[Responsabil achizitie]","[Responsabil_achizitie].[Responsabil achizitie].&amp;[ALEXANDRU Anisia]"),0)</f>
        <v>0</v>
      </c>
      <c r="H3" s="41">
        <f>IFERROR(GETPIVOTDATA("[Measures].[Count of Tip procedura 3]",Pivot_Leveling!$A$3,"[Tipul_Procedurii].[Procedura]","[Tipul_Procedurii].[Procedura].&amp;[Procedura proprie]","[Responsabil_achizitie].[Responsabil achizitie]","[Responsabil_achizitie].[Responsabil achizitie].&amp;[ALEXANDRU Anisia]"),0)</f>
        <v>0</v>
      </c>
      <c r="I3" s="41">
        <f>IFERROR(GETPIVOTDATA("[Measures].[Count of Tip procedura 2]",Pivot_Leveling!$A$3,"[Tipul_Procedurii].[Procedura]","[Tipul_Procedurii].[Procedura].&amp;[Procedura simplificata]","[Responsabil_achizitie].[Responsabil achizitie]","[Responsabil_achizitie].[Responsabil achizitie].&amp;[ALEXANDRU Anisia]"),0)</f>
        <v>0</v>
      </c>
      <c r="J3" s="41">
        <f>IFERROR(GETPIVOTDATA("[Measures].[Count of Tip procedura 3]",Pivot_Leveling!$A$3,"[Tipul_Procedurii].[Procedura]","[Tipul_Procedurii].[Procedura].&amp;[Procedura simplificata]","[Responsabil_achizitie].[Responsabil achizitie]","[Responsabil_achizitie].[Responsabil achizitie].&amp;[ALEXANDRU Anisia]"),0)</f>
        <v>0</v>
      </c>
      <c r="K3" s="41">
        <f>IFERROR(GETPIVOTDATA("[Measures].[Count of Tip procedura 2]",Pivot_Leveling!$A$3,"[Tipul_Procedurii].[Procedura]","[Tipul_Procedurii].[Procedura].&amp;[Licitatie deschisa]","[Responsabil_achizitie].[Responsabil achizitie]","[Responsabil_achizitie].[Responsabil achizitie].&amp;[ALEXANDRU Anisia]"),0)</f>
        <v>0</v>
      </c>
      <c r="L3" s="41">
        <f>IFERROR(GETPIVOTDATA("[Measures].[Count of Tip procedura 3]",Pivot_Leveling!$A$3,"[Tipul_Procedurii].[Procedura]","[Tipul_Procedurii].[Procedura].&amp;[Licitatie deschisa]","[Responsabil_achizitie].[Responsabil achizitie]","[Responsabil_achizitie].[Responsabil achizitie].&amp;[ALEXANDRU Anisia]"),0)</f>
        <v>0</v>
      </c>
      <c r="M3" s="39">
        <f>SUBTOTAL(9,B3:L3)</f>
        <v>2</v>
      </c>
    </row>
    <row r="4" spans="1:13" x14ac:dyDescent="0.25">
      <c r="A4" s="36" t="s">
        <v>14</v>
      </c>
      <c r="B4" s="41">
        <f>IFERROR(GETPIVOTDATA("[Measures].[Count of Tip AD]",Pivot_Leveling!$A$3,"[Tipul_Procedurii].[Procedura]","[Tipul_Procedurii].[Procedura].&amp;[AD complexa]","[Responsabil_achizitie].[Responsabil achizitie]","[Responsabil_achizitie].[Responsabil achizitie].&amp;[BACNEANU Virginia]"),0)</f>
        <v>0</v>
      </c>
      <c r="C4" s="41">
        <f>IFERROR(GETPIVOTDATA("[Measures].[Count of Tip procedura 3]",Pivot_Leveling!$A$3,"[Tipul_Procedurii].[Procedura]","[Tipul_Procedurii].[Procedura].&amp;[AD complexa]","[Responsabil_achizitie].[Responsabil achizitie]","[Responsabil_achizitie].[Responsabil achizitie].&amp;[BACNEANU Virginia]"),0)</f>
        <v>2</v>
      </c>
      <c r="D4" s="41">
        <f>IFERROR(GETPIVOTDATA("[Measures].[Count of Tip AD]",Pivot_Leveling!$A$3,"[Tipul_Procedurii].[Procedura]","[Tipul_Procedurii].[Procedura].&amp;[AD simpla]","[Responsabil_achizitie].[Responsabil achizitie]","[Responsabil_achizitie].[Responsabil achizitie].&amp;[BACNEANU Virginia]"),0)</f>
        <v>0</v>
      </c>
      <c r="E4" s="41">
        <f>IFERROR(GETPIVOTDATA("[Measures].[Count of Tip procedura 3]",Pivot_Leveling!$A$3,"[Tipul_Procedurii].[Procedura]","[Tipul_Procedurii].[Procedura].&amp;[AD simpla]","[Responsabil_achizitie].[Responsabil achizitie]","[Responsabil_achizitie].[Responsabil achizitie].&amp;[BACNEANU Virginia]"),0)</f>
        <v>0</v>
      </c>
      <c r="F4" s="41">
        <f>IFERROR(GETPIVOTDATA("[Measures].[Count of Tip procedura]",Pivot_Leveling!$A$3,"[Tipul_Procedurii].[Procedura]","[Tipul_Procedurii].[Procedura].&amp;[Exceptie art. 29 L98/2016]","[Responsabil_achizitie].[Responsabil achizitie]","[Responsabil_achizitie].[Responsabil achizitie].&amp;[BACNEANU Virginia]"),0)</f>
        <v>0</v>
      </c>
      <c r="G4" s="41">
        <f>IFERROR(GETPIVOTDATA("[Measures].[Count of Tip procedura]",Pivot_Leveling!$A$3,"[Tipul_Procedurii].[Procedura]","[Tipul_Procedurii].[Procedura].&amp;[Procedura proprie]","[Responsabil_achizitie].[Responsabil achizitie]","[Responsabil_achizitie].[Responsabil achizitie].&amp;[BACNEANU Virginia]"),0)</f>
        <v>0</v>
      </c>
      <c r="H4" s="41">
        <f>IFERROR(GETPIVOTDATA("[Measures].[Count of Tip procedura 3]",Pivot_Leveling!$A$3,"[Tipul_Procedurii].[Procedura]","[Tipul_Procedurii].[Procedura].&amp;[Procedura proprie]","[Responsabil_achizitie].[Responsabil achizitie]","[Responsabil_achizitie].[Responsabil achizitie].&amp;[BACNEANU Virginia]"),0)</f>
        <v>0</v>
      </c>
      <c r="I4" s="41">
        <f>IFERROR(GETPIVOTDATA("[Measures].[Count of Tip procedura 2]",Pivot_Leveling!$A$3,"[Tipul_Procedurii].[Procedura]","[Tipul_Procedurii].[Procedura].&amp;[Procedura simplificata]","[Responsabil_achizitie].[Responsabil achizitie]","[Responsabil_achizitie].[Responsabil achizitie].&amp;[BACNEANU Virginia]"),0)</f>
        <v>0</v>
      </c>
      <c r="J4" s="41">
        <f>IFERROR(GETPIVOTDATA("[Measures].[Count of Tip procedura 3]",Pivot_Leveling!$A$3,"[Tipul_Procedurii].[Procedura]","[Tipul_Procedurii].[Procedura].&amp;[Procedura simplificata]","[Responsabil_achizitie].[Responsabil achizitie]","[Responsabil_achizitie].[Responsabil achizitie].&amp;[BACNEANU Virginia]"),0)</f>
        <v>1</v>
      </c>
      <c r="K4" s="41">
        <f>IFERROR(GETPIVOTDATA("[Measures].[Count of Tip procedura 2]",Pivot_Leveling!$A$3,"[Tipul_Procedurii].[Procedura]","[Tipul_Procedurii].[Procedura].&amp;[Licitatie deschisa]","[Responsabil_achizitie].[Responsabil achizitie]","[Responsabil_achizitie].[Responsabil achizitie].&amp;[BACNEANU Virginia]"),0)</f>
        <v>0</v>
      </c>
      <c r="L4" s="41">
        <f>IFERROR(GETPIVOTDATA("[Measures].[Count of Tip procedura 3]",Pivot_Leveling!$A$3,"[Tipul_Procedurii].[Procedura]","[Tipul_Procedurii].[Procedura].&amp;[Licitatie deschisa]","[Responsabil_achizitie].[Responsabil achizitie]","[Responsabil_achizitie].[Responsabil achizitie].&amp;[BACNEANU Virginia]"),0)</f>
        <v>0</v>
      </c>
      <c r="M4" s="39">
        <f>SUBTOTAL(9,B4:L4)</f>
        <v>3</v>
      </c>
    </row>
    <row r="5" spans="1:13" x14ac:dyDescent="0.25">
      <c r="A5" s="36" t="s">
        <v>154</v>
      </c>
      <c r="B5" s="41">
        <f>IFERROR(GETPIVOTDATA("[Measures].[Count of Tip AD]",Pivot_Leveling!$A$3,"[Tipul_Procedurii].[Procedura]","[Tipul_Procedurii].[Procedura].&amp;[AD complexa]","[Responsabil_achizitie].[Responsabil achizitie]","[Responsabil_achizitie].[Responsabil achizitie].&amp;[BUZICA Cristian]"),0)</f>
        <v>4</v>
      </c>
      <c r="C5" s="41">
        <f>IFERROR(GETPIVOTDATA("[Measures].[Count of Tip procedura 3]",Pivot_Leveling!$A$3,"[Tipul_Procedurii].[Procedura]","[Tipul_Procedurii].[Procedura].&amp;[AD complexa]","[Responsabil_achizitie].[Responsabil achizitie]","[Responsabil_achizitie].[Responsabil achizitie].&amp;[BUZICA Cristian]"),0)</f>
        <v>0</v>
      </c>
      <c r="D5" s="41">
        <f>IFERROR(GETPIVOTDATA("[Measures].[Count of Tip AD]",Pivot_Leveling!$A$3,"[Tipul_Procedurii].[Procedura]","[Tipul_Procedurii].[Procedura].&amp;[AD simpla]","[Responsabil_achizitie].[Responsabil achizitie]","[Responsabil_achizitie].[Responsabil achizitie].&amp;[BUZICA Cristian]"),0)</f>
        <v>0</v>
      </c>
      <c r="E5" s="41">
        <f>IFERROR(GETPIVOTDATA("[Measures].[Count of Tip procedura 3]",Pivot_Leveling!$A$3,"[Tipul_Procedurii].[Procedura]","[Tipul_Procedurii].[Procedura].&amp;[AD simpla]","[Responsabil_achizitie].[Responsabil achizitie]","[Responsabil_achizitie].[Responsabil achizitie].&amp;[BUZICA Cristian]"),0)</f>
        <v>0</v>
      </c>
      <c r="F5" s="41">
        <f>IFERROR(GETPIVOTDATA("[Measures].[Count of Tip procedura]",Pivot_Leveling!$A$3,"[Tipul_Procedurii].[Procedura]","[Tipul_Procedurii].[Procedura].&amp;[Exceptie art. 29 L98/2016]","[Responsabil_achizitie].[Responsabil achizitie]","[Responsabil_achizitie].[Responsabil achizitie].&amp;[BUZICA Cristian]"),0)</f>
        <v>0</v>
      </c>
      <c r="G5" s="41">
        <f>IFERROR(GETPIVOTDATA("[Measures].[Count of Tip procedura]",Pivot_Leveling!$A$3,"[Tipul_Procedurii].[Procedura]","[Tipul_Procedurii].[Procedura].&amp;[Procedura proprie]","[Responsabil_achizitie].[Responsabil achizitie]","[Responsabil_achizitie].[Responsabil achizitie].&amp;[BUZICA Cristian]"),0)</f>
        <v>0</v>
      </c>
      <c r="H5" s="41">
        <f>IFERROR(GETPIVOTDATA("[Measures].[Count of Tip procedura 3]",Pivot_Leveling!$A$3,"[Tipul_Procedurii].[Procedura]","[Tipul_Procedurii].[Procedura].&amp;[Procedura proprie]","[Responsabil_achizitie].[Responsabil achizitie]","[Responsabil_achizitie].[Responsabil achizitie].&amp;[BUZICA Cristian]"),0)</f>
        <v>0</v>
      </c>
      <c r="I5" s="41">
        <f>IFERROR(GETPIVOTDATA("[Measures].[Count of Tip procedura 2]",Pivot_Leveling!$A$3,"[Tipul_Procedurii].[Procedura]","[Tipul_Procedurii].[Procedura].&amp;[Procedura simplificata]","[Responsabil_achizitie].[Responsabil achizitie]","[Responsabil_achizitie].[Responsabil achizitie].&amp;[BUZICA Cristian]"),0)</f>
        <v>1</v>
      </c>
      <c r="J5" s="41">
        <f>IFERROR(GETPIVOTDATA("[Measures].[Count of Tip procedura 3]",Pivot_Leveling!$A$3,"[Tipul_Procedurii].[Procedura]","[Tipul_Procedurii].[Procedura].&amp;[Procedura simplificata]","[Responsabil_achizitie].[Responsabil achizitie]","[Responsabil_achizitie].[Responsabil achizitie].&amp;[BUZICA Cristian]"),0)</f>
        <v>0</v>
      </c>
      <c r="K5" s="41">
        <f>IFERROR(GETPIVOTDATA("[Measures].[Count of Tip procedura 2]",Pivot_Leveling!$A$3,"[Tipul_Procedurii].[Procedura]","[Tipul_Procedurii].[Procedura].&amp;[Licitatie deschisa]","[Responsabil_achizitie].[Responsabil achizitie]","[Responsabil_achizitie].[Responsabil achizitie].&amp;[BUZICA Cristian]"),0)</f>
        <v>0</v>
      </c>
      <c r="L5" s="41">
        <f>IFERROR(GETPIVOTDATA("[Measures].[Count of Tip procedura 3]",Pivot_Leveling!$A$3,"[Tipul_Procedurii].[Procedura]","[Tipul_Procedurii].[Procedura].&amp;[Licitatie deschisa]","[Responsabil_achizitie].[Responsabil achizitie]","[Responsabil_achizitie].[Responsabil achizitie].&amp;[BUZICA Cristian]"),0)</f>
        <v>0</v>
      </c>
      <c r="M5" s="39">
        <f t="shared" ref="M5:M15" si="0">SUBTOTAL(9,B5:L5)</f>
        <v>5</v>
      </c>
    </row>
    <row r="6" spans="1:13" x14ac:dyDescent="0.25">
      <c r="A6" s="36" t="s">
        <v>27</v>
      </c>
      <c r="B6" s="41">
        <f>IFERROR(GETPIVOTDATA("[Measures].[Count of Tip AD]",Pivot_Leveling!$A$3,"[Tipul_Procedurii].[Procedura]","[Tipul_Procedurii].[Procedura].&amp;[AD complexa]","[Responsabil_achizitie].[Responsabil achizitie]","[Responsabil_achizitie].[Responsabil achizitie].&amp;[CIMPEANU Carmen]"),0)</f>
        <v>0</v>
      </c>
      <c r="C6" s="41">
        <f>IFERROR(GETPIVOTDATA("[Measures].[Count of Tip procedura 3]",Pivot_Leveling!$A$3,"[Tipul_Procedurii].[Procedura]","[Tipul_Procedurii].[Procedura].&amp;[AD complexa]","[Responsabil_achizitie].[Responsabil achizitie]","[Responsabil_achizitie].[Responsabil achizitie].&amp;[CIMPEANU Carmen]"),0)</f>
        <v>0</v>
      </c>
      <c r="D6" s="41">
        <f>IFERROR(GETPIVOTDATA("[Measures].[Count of Tip AD]",Pivot_Leveling!$A$3,"[Tipul_Procedurii].[Procedura]","[Tipul_Procedurii].[Procedura].&amp;[AD simpla]","[Responsabil_achizitie].[Responsabil achizitie]","[Responsabil_achizitie].[Responsabil achizitie].&amp;[CIMPEANU Carmen]"),0)</f>
        <v>0</v>
      </c>
      <c r="E6" s="41">
        <f>IFERROR(GETPIVOTDATA("[Measures].[Count of Tip procedura 3]",Pivot_Leveling!$A$3,"[Tipul_Procedurii].[Procedura]","[Tipul_Procedurii].[Procedura].&amp;[AD simpla]","[Responsabil_achizitie].[Responsabil achizitie]","[Responsabil_achizitie].[Responsabil achizitie].&amp;[CIMPEANU Carmen]"),0)</f>
        <v>0</v>
      </c>
      <c r="F6" s="41">
        <f>IFERROR(GETPIVOTDATA("[Measures].[Count of Tip procedura]",Pivot_Leveling!$A$3,"[Tipul_Procedurii].[Procedura]","[Tipul_Procedurii].[Procedura].&amp;[Exceptie art. 29 L98/2016]","[Responsabil_achizitie].[Responsabil achizitie]","[Responsabil_achizitie].[Responsabil achizitie].&amp;[CIMPEANU Carmen]"),0)</f>
        <v>0</v>
      </c>
      <c r="G6" s="41">
        <f>IFERROR(GETPIVOTDATA("[Measures].[Count of Tip procedura]",Pivot_Leveling!$A$3,"[Tipul_Procedurii].[Procedura]","[Tipul_Procedurii].[Procedura].&amp;[Procedura proprie]","[Responsabil_achizitie].[Responsabil achizitie]","[Responsabil_achizitie].[Responsabil achizitie].&amp;[CIMPEANU Carmen]"),0)</f>
        <v>0</v>
      </c>
      <c r="H6" s="41">
        <f>IFERROR(GETPIVOTDATA("[Measures].[Count of Tip procedura 3]",Pivot_Leveling!$A$3,"[Tipul_Procedurii].[Procedura]","[Tipul_Procedurii].[Procedura].&amp;[Procedura proprie]","[Responsabil_achizitie].[Responsabil achizitie]","[Responsabil_achizitie].[Responsabil achizitie].&amp;[CIMPEANU Carmen]"),0)</f>
        <v>1</v>
      </c>
      <c r="I6" s="41">
        <f>IFERROR(GETPIVOTDATA("[Measures].[Count of Tip procedura 2]",Pivot_Leveling!$A$3,"[Tipul_Procedurii].[Procedura]","[Tipul_Procedurii].[Procedura].&amp;[Procedura simplificata]","[Responsabil_achizitie].[Responsabil achizitie]","[Responsabil_achizitie].[Responsabil achizitie].&amp;[CIMPEANU Carmen]"),0)</f>
        <v>0</v>
      </c>
      <c r="J6" s="41">
        <f>IFERROR(GETPIVOTDATA("[Measures].[Count of Tip procedura 3]",Pivot_Leveling!$A$3,"[Tipul_Procedurii].[Procedura]","[Tipul_Procedurii].[Procedura].&amp;[Procedura simplificata]","[Responsabil_achizitie].[Responsabil achizitie]","[Responsabil_achizitie].[Responsabil achizitie].&amp;[CIMPEANU Carmen]"),0)</f>
        <v>2</v>
      </c>
      <c r="K6" s="41">
        <f>IFERROR(GETPIVOTDATA("[Measures].[Count of Tip procedura 2]",Pivot_Leveling!$A$3,"[Tipul_Procedurii].[Procedura]","[Tipul_Procedurii].[Procedura].&amp;[Licitatie deschisa]","[Responsabil_achizitie].[Responsabil achizitie]","[Responsabil_achizitie].[Responsabil achizitie].&amp;[CIMPEANU Carmen]"),0)</f>
        <v>1</v>
      </c>
      <c r="L6" s="41">
        <f>IFERROR(GETPIVOTDATA("[Measures].[Count of Tip procedura 3]",Pivot_Leveling!$A$3,"[Tipul_Procedurii].[Procedura]","[Tipul_Procedurii].[Procedura].&amp;[Licitatie deschisa]","[Responsabil_achizitie].[Responsabil achizitie]","[Responsabil_achizitie].[Responsabil achizitie].&amp;[CIMPEANU Carmen]"),0)</f>
        <v>0</v>
      </c>
      <c r="M6" s="39">
        <f t="shared" si="0"/>
        <v>4</v>
      </c>
    </row>
    <row r="7" spans="1:13" x14ac:dyDescent="0.25">
      <c r="A7" s="36" t="s">
        <v>23</v>
      </c>
      <c r="B7" s="41">
        <f>IFERROR(GETPIVOTDATA("[Measures].[Count of Tip AD]",Pivot_Leveling!$A$3,"[Tipul_Procedurii].[Procedura]","[Tipul_Procedurii].[Procedura].&amp;[AD complexa]","[Responsabil_achizitie].[Responsabil achizitie]","[Responsabil_achizitie].[Responsabil achizitie].&amp;[CRETU Anca]"),0)</f>
        <v>0</v>
      </c>
      <c r="C7" s="41">
        <f>IFERROR(GETPIVOTDATA("[Measures].[Count of Tip procedura 3]",Pivot_Leveling!$A$3,"[Tipul_Procedurii].[Procedura]","[Tipul_Procedurii].[Procedura].&amp;[AD complexa]","[Responsabil_achizitie].[Responsabil achizitie]","[Responsabil_achizitie].[Responsabil achizitie].&amp;[CRETU Anca]"),0)</f>
        <v>2</v>
      </c>
      <c r="D7" s="41">
        <f>IFERROR(GETPIVOTDATA("[Measures].[Count of Tip AD]",Pivot_Leveling!$A$3,"[Tipul_Procedurii].[Procedura]","[Tipul_Procedurii].[Procedura].&amp;[AD simpla]","[Responsabil_achizitie].[Responsabil achizitie]","[Responsabil_achizitie].[Responsabil achizitie].&amp;[CRETU Anca]"),0)</f>
        <v>0</v>
      </c>
      <c r="E7" s="41">
        <f>IFERROR(GETPIVOTDATA("[Measures].[Count of Tip procedura 3]",Pivot_Leveling!$A$3,"[Tipul_Procedurii].[Procedura]","[Tipul_Procedurii].[Procedura].&amp;[AD simpla]","[Responsabil_achizitie].[Responsabil achizitie]","[Responsabil_achizitie].[Responsabil achizitie].&amp;[CRETU Anca]"),0)</f>
        <v>0</v>
      </c>
      <c r="F7" s="41">
        <f>IFERROR(GETPIVOTDATA("[Measures].[Count of Tip procedura]",Pivot_Leveling!$A$3,"[Tipul_Procedurii].[Procedura]","[Tipul_Procedurii].[Procedura].&amp;[Exceptie art. 29 L98/2016]","[Responsabil_achizitie].[Responsabil achizitie]","[Responsabil_achizitie].[Responsabil achizitie].&amp;[CRETU Anca]"),0)</f>
        <v>0</v>
      </c>
      <c r="G7" s="41">
        <f>IFERROR(GETPIVOTDATA("[Measures].[Count of Tip procedura]",Pivot_Leveling!$A$3,"[Tipul_Procedurii].[Procedura]","[Tipul_Procedurii].[Procedura].&amp;[Procedura proprie]","[Responsabil_achizitie].[Responsabil achizitie]","[Responsabil_achizitie].[Responsabil achizitie].&amp;[CRETU Anca]"),0)</f>
        <v>0</v>
      </c>
      <c r="H7" s="41">
        <f>IFERROR(GETPIVOTDATA("[Measures].[Count of Tip procedura 3]",Pivot_Leveling!$A$3,"[Tipul_Procedurii].[Procedura]","[Tipul_Procedurii].[Procedura].&amp;[Procedura proprie]","[Responsabil_achizitie].[Responsabil achizitie]","[Responsabil_achizitie].[Responsabil achizitie].&amp;[CRETU Anca]"),0)</f>
        <v>0</v>
      </c>
      <c r="I7" s="41">
        <f>IFERROR(GETPIVOTDATA("[Measures].[Count of Tip procedura 2]",Pivot_Leveling!$A$3,"[Tipul_Procedurii].[Procedura]","[Tipul_Procedurii].[Procedura].&amp;[Procedura simplificata]","[Responsabil_achizitie].[Responsabil achizitie]","[Responsabil_achizitie].[Responsabil achizitie].&amp;[CRETU Anca]"),0)</f>
        <v>0</v>
      </c>
      <c r="J7" s="41">
        <f>IFERROR(GETPIVOTDATA("[Measures].[Count of Tip procedura 3]",Pivot_Leveling!$A$3,"[Tipul_Procedurii].[Procedura]","[Tipul_Procedurii].[Procedura].&amp;[Procedura simplificata]","[Responsabil_achizitie].[Responsabil achizitie]","[Responsabil_achizitie].[Responsabil achizitie].&amp;[CRETU Anca]"),0)</f>
        <v>0</v>
      </c>
      <c r="K7" s="41">
        <f>IFERROR(GETPIVOTDATA("[Measures].[Count of Tip procedura 2]",Pivot_Leveling!$A$3,"[Tipul_Procedurii].[Procedura]","[Tipul_Procedurii].[Procedura].&amp;[Licitatie deschisa]","[Responsabil_achizitie].[Responsabil achizitie]","[Responsabil_achizitie].[Responsabil achizitie].&amp;[CRETU Anca]"),0)</f>
        <v>0</v>
      </c>
      <c r="L7" s="41">
        <f>IFERROR(GETPIVOTDATA("[Measures].[Count of Tip procedura 3]",Pivot_Leveling!$A$3,"[Tipul_Procedurii].[Procedura]","[Tipul_Procedurii].[Procedura].&amp;[Licitatie deschisa]","[Responsabil_achizitie].[Responsabil achizitie]","[Responsabil_achizitie].[Responsabil achizitie].&amp;[CRETU Anca]"),0)</f>
        <v>0</v>
      </c>
      <c r="M7" s="39">
        <f t="shared" si="0"/>
        <v>2</v>
      </c>
    </row>
    <row r="8" spans="1:13" x14ac:dyDescent="0.25">
      <c r="A8" s="36" t="s">
        <v>30</v>
      </c>
      <c r="B8" s="41">
        <f>IFERROR(GETPIVOTDATA("[Measures].[Count of Tip AD]",Pivot_Leveling!$A$3,"[Tipul_Procedurii].[Procedura]","[Tipul_Procedurii].[Procedura].&amp;[AD complexa]","[Responsabil_achizitie].[Responsabil achizitie]","[Responsabil_achizitie].[Responsabil achizitie].&amp;[GHEORGHE Mirela]"),0)</f>
        <v>3</v>
      </c>
      <c r="C8" s="41">
        <f>IFERROR(GETPIVOTDATA("[Measures].[Count of Tip procedura 3]",Pivot_Leveling!$A$3,"[Tipul_Procedurii].[Procedura]","[Tipul_Procedurii].[Procedura].&amp;[AD complexa]","[Responsabil_achizitie].[Responsabil achizitie]","[Responsabil_achizitie].[Responsabil achizitie].&amp;[GHEORGHE Mirela]"),0)</f>
        <v>0</v>
      </c>
      <c r="D8" s="41">
        <f>IFERROR(GETPIVOTDATA("[Measures].[Count of Tip AD]",Pivot_Leveling!$A$3,"[Tipul_Procedurii].[Procedura]","[Tipul_Procedurii].[Procedura].&amp;[AD simpla]","[Responsabil_achizitie].[Responsabil achizitie]","[Responsabil_achizitie].[Responsabil achizitie].&amp;[GHEORGHE Mirela]"),0)</f>
        <v>0</v>
      </c>
      <c r="E8" s="41">
        <f>IFERROR(GETPIVOTDATA("[Measures].[Count of Tip procedura 3]",Pivot_Leveling!$A$3,"[Tipul_Procedurii].[Procedura]","[Tipul_Procedurii].[Procedura].&amp;[AD simpla]","[Responsabil_achizitie].[Responsabil achizitie]","[Responsabil_achizitie].[Responsabil achizitie].&amp;[GHEORGHE Mirela]"),0)</f>
        <v>0</v>
      </c>
      <c r="F8" s="41">
        <f>IFERROR(GETPIVOTDATA("[Measures].[Count of Tip procedura]",Pivot_Leveling!$A$3,"[Tipul_Procedurii].[Procedura]","[Tipul_Procedurii].[Procedura].&amp;[Exceptie art. 29 L98/2016]","[Responsabil_achizitie].[Responsabil achizitie]","[Responsabil_achizitie].[Responsabil achizitie].&amp;[GHEORGHE Mirela]"),0)</f>
        <v>0</v>
      </c>
      <c r="G8" s="41">
        <f>IFERROR(GETPIVOTDATA("[Measures].[Count of Tip procedura]",Pivot_Leveling!$A$3,"[Tipul_Procedurii].[Procedura]","[Tipul_Procedurii].[Procedura].&amp;[Procedura proprie]","[Responsabil_achizitie].[Responsabil achizitie]","[Responsabil_achizitie].[Responsabil achizitie].&amp;[GHEORGHE Mirela]"),0)</f>
        <v>0</v>
      </c>
      <c r="H8" s="41">
        <f>IFERROR(GETPIVOTDATA("[Measures].[Count of Tip procedura 3]",Pivot_Leveling!$A$3,"[Tipul_Procedurii].[Procedura]","[Tipul_Procedurii].[Procedura].&amp;[Procedura proprie]","[Responsabil_achizitie].[Responsabil achizitie]","[Responsabil_achizitie].[Responsabil achizitie].&amp;[GHEORGHE Mirela]"),0)</f>
        <v>0</v>
      </c>
      <c r="I8" s="41">
        <f>IFERROR(GETPIVOTDATA("[Measures].[Count of Tip procedura 2]",Pivot_Leveling!$A$3,"[Tipul_Procedurii].[Procedura]","[Tipul_Procedurii].[Procedura].&amp;[Procedura simplificata]","[Responsabil_achizitie].[Responsabil achizitie]","[Responsabil_achizitie].[Responsabil achizitie].&amp;[GHEORGHE Mirela]"),0)</f>
        <v>0</v>
      </c>
      <c r="J8" s="41">
        <f>IFERROR(GETPIVOTDATA("[Measures].[Count of Tip procedura 3]",Pivot_Leveling!$A$3,"[Tipul_Procedurii].[Procedura]","[Tipul_Procedurii].[Procedura].&amp;[Procedura simplificata]","[Responsabil_achizitie].[Responsabil achizitie]","[Responsabil_achizitie].[Responsabil achizitie].&amp;[GHEORGHE Mirela]"),0)</f>
        <v>0</v>
      </c>
      <c r="K8" s="41">
        <f>IFERROR(GETPIVOTDATA("[Measures].[Count of Tip procedura 2]",Pivot_Leveling!$A$3,"[Tipul_Procedurii].[Procedura]","[Tipul_Procedurii].[Procedura].&amp;[Licitatie deschisa]","[Responsabil_achizitie].[Responsabil achizitie]","[Responsabil_achizitie].[Responsabil achizitie].&amp;[GHEORGHE Mirela]"),0)</f>
        <v>0</v>
      </c>
      <c r="L8" s="41">
        <f>IFERROR(GETPIVOTDATA("[Measures].[Count of Tip procedura 3]",Pivot_Leveling!$A$3,"[Tipul_Procedurii].[Procedura]","[Tipul_Procedurii].[Procedura].&amp;[Licitatie deschisa]","[Responsabil_achizitie].[Responsabil achizitie]","[Responsabil_achizitie].[Responsabil achizitie].&amp;[GHEORGHE Mirela]"),0)</f>
        <v>0</v>
      </c>
      <c r="M8" s="39">
        <f t="shared" si="0"/>
        <v>3</v>
      </c>
    </row>
    <row r="9" spans="1:13" x14ac:dyDescent="0.25">
      <c r="A9" s="36" t="s">
        <v>20</v>
      </c>
      <c r="B9" s="41">
        <f>IFERROR(GETPIVOTDATA("[Measures].[Count of Tip AD]",Pivot_Leveling!$A$3,"[Tipul_Procedurii].[Procedura]","[Tipul_Procedurii].[Procedura].&amp;[AD complexa]","[Responsabil_achizitie].[Responsabil achizitie]","[Responsabil_achizitie].[Responsabil achizitie].&amp;[HORIA Alina]"),0)</f>
        <v>0</v>
      </c>
      <c r="C9" s="41">
        <f>IFERROR(GETPIVOTDATA("[Measures].[Count of Tip procedura 3]",Pivot_Leveling!$A$3,"[Tipul_Procedurii].[Procedura]","[Tipul_Procedurii].[Procedura].&amp;[AD complexa]","[Responsabil_achizitie].[Responsabil achizitie]","[Responsabil_achizitie].[Responsabil achizitie].&amp;[HORIA Alina]"),0)</f>
        <v>0</v>
      </c>
      <c r="D9" s="41">
        <f>IFERROR(GETPIVOTDATA("[Measures].[Count of Tip AD]",Pivot_Leveling!$A$3,"[Tipul_Procedurii].[Procedura]","[Tipul_Procedurii].[Procedura].&amp;[AD simpla]","[Responsabil_achizitie].[Responsabil achizitie]","[Responsabil_achizitie].[Responsabil achizitie].&amp;[HORIA Alina]"),0)</f>
        <v>0</v>
      </c>
      <c r="E9" s="41">
        <f>IFERROR(GETPIVOTDATA("[Measures].[Count of Tip procedura 3]",Pivot_Leveling!$A$3,"[Tipul_Procedurii].[Procedura]","[Tipul_Procedurii].[Procedura].&amp;[AD simpla]","[Responsabil_achizitie].[Responsabil achizitie]","[Responsabil_achizitie].[Responsabil achizitie].&amp;[HORIA Alina]"),0)</f>
        <v>0</v>
      </c>
      <c r="F9" s="41">
        <f>IFERROR(GETPIVOTDATA("[Measures].[Count of Tip procedura]",Pivot_Leveling!$A$3,"[Tipul_Procedurii].[Procedura]","[Tipul_Procedurii].[Procedura].&amp;[Exceptie art. 29 L98/2016]","[Responsabil_achizitie].[Responsabil achizitie]","[Responsabil_achizitie].[Responsabil achizitie].&amp;[HORIA Alina]"),0)</f>
        <v>0</v>
      </c>
      <c r="G9" s="41">
        <f>IFERROR(GETPIVOTDATA("[Measures].[Count of Tip procedura]",Pivot_Leveling!$A$3,"[Tipul_Procedurii].[Procedura]","[Tipul_Procedurii].[Procedura].&amp;[Procedura proprie]","[Responsabil_achizitie].[Responsabil achizitie]","[Responsabil_achizitie].[Responsabil achizitie].&amp;[HORIA Alina]"),0)</f>
        <v>0</v>
      </c>
      <c r="H9" s="41">
        <f>IFERROR(GETPIVOTDATA("[Measures].[Count of Tip procedura 3]",Pivot_Leveling!$A$3,"[Tipul_Procedurii].[Procedura]","[Tipul_Procedurii].[Procedura].&amp;[Procedura proprie]","[Responsabil_achizitie].[Responsabil achizitie]","[Responsabil_achizitie].[Responsabil achizitie].&amp;[HORIA Alina]"),0)</f>
        <v>0</v>
      </c>
      <c r="I9" s="41">
        <f>IFERROR(GETPIVOTDATA("[Measures].[Count of Tip procedura 2]",Pivot_Leveling!$A$3,"[Tipul_Procedurii].[Procedura]","[Tipul_Procedurii].[Procedura].&amp;[Procedura simplificata]","[Responsabil_achizitie].[Responsabil achizitie]","[Responsabil_achizitie].[Responsabil achizitie].&amp;[HORIA Alina]"),0)</f>
        <v>0</v>
      </c>
      <c r="J9" s="41">
        <f>IFERROR(GETPIVOTDATA("[Measures].[Count of Tip procedura 3]",Pivot_Leveling!$A$3,"[Tipul_Procedurii].[Procedura]","[Tipul_Procedurii].[Procedura].&amp;[Procedura simplificata]","[Responsabil_achizitie].[Responsabil achizitie]","[Responsabil_achizitie].[Responsabil achizitie].&amp;[HORIA Alina]"),0)</f>
        <v>0</v>
      </c>
      <c r="K9" s="41">
        <f>IFERROR(GETPIVOTDATA("[Measures].[Count of Tip procedura 2]",Pivot_Leveling!$A$3,"[Tipul_Procedurii].[Procedura]","[Tipul_Procedurii].[Procedura].&amp;[Licitatie deschisa]","[Responsabil_achizitie].[Responsabil achizitie]","[Responsabil_achizitie].[Responsabil achizitie].&amp;[HORIA Alina]"),0)</f>
        <v>1</v>
      </c>
      <c r="L9" s="41">
        <f>IFERROR(GETPIVOTDATA("[Measures].[Count of Tip procedura 3]",Pivot_Leveling!$A$3,"[Tipul_Procedurii].[Procedura]","[Tipul_Procedurii].[Procedura].&amp;[Licitatie deschisa]","[Responsabil_achizitie].[Responsabil achizitie]","[Responsabil_achizitie].[Responsabil achizitie].&amp;[HORIA Alina]"),0)</f>
        <v>0</v>
      </c>
      <c r="M9" s="39">
        <f t="shared" si="0"/>
        <v>1</v>
      </c>
    </row>
    <row r="10" spans="1:13" x14ac:dyDescent="0.25">
      <c r="A10" s="36" t="s">
        <v>147</v>
      </c>
      <c r="B10" s="41">
        <f>IFERROR(GETPIVOTDATA("[Measures].[Count of Tip AD]",Pivot_Leveling!$A$3,"[Tipul_Procedurii].[Procedura]","[Tipul_Procedurii].[Procedura].&amp;[AD complexa]","[Responsabil_achizitie].[Responsabil achizitie]","[Responsabil_achizitie].[Responsabil achizitie].&amp;[NEGREA Andrei]"),0)</f>
        <v>0</v>
      </c>
      <c r="C10" s="41">
        <f>IFERROR(GETPIVOTDATA("[Measures].[Count of Tip procedura 3]",Pivot_Leveling!$A$3,"[Tipul_Procedurii].[Procedura]","[Tipul_Procedurii].[Procedura].&amp;[AD complexa]","[Responsabil_achizitie].[Responsabil achizitie]","[Responsabil_achizitie].[Responsabil achizitie].&amp;[NEGREA Andrei]"),0)</f>
        <v>0</v>
      </c>
      <c r="D10" s="41">
        <f>IFERROR(GETPIVOTDATA("[Measures].[Count of Tip AD]",Pivot_Leveling!$A$3,"[Tipul_Procedurii].[Procedura]","[Tipul_Procedurii].[Procedura].&amp;[AD simpla]","[Responsabil_achizitie].[Responsabil achizitie]","[Responsabil_achizitie].[Responsabil achizitie].&amp;[NEGREA Andrei]"),0)</f>
        <v>0</v>
      </c>
      <c r="E10" s="41">
        <f>IFERROR(GETPIVOTDATA("[Measures].[Count of Tip procedura 3]",Pivot_Leveling!$A$3,"[Tipul_Procedurii].[Procedura]","[Tipul_Procedurii].[Procedura].&amp;[AD simpla]","[Responsabil_achizitie].[Responsabil achizitie]","[Responsabil_achizitie].[Responsabil achizitie].&amp;[NEGREA Andrei]"),0)</f>
        <v>0</v>
      </c>
      <c r="F10" s="41">
        <f>IFERROR(GETPIVOTDATA("[Measures].[Count of Tip procedura]",Pivot_Leveling!$A$3,"[Tipul_Procedurii].[Procedura]","[Tipul_Procedurii].[Procedura].&amp;[Exceptie art. 29 L98/2016]","[Responsabil_achizitie].[Responsabil achizitie]","[Responsabil_achizitie].[Responsabil achizitie].&amp;[NEGREA Andrei]"),0)</f>
        <v>0</v>
      </c>
      <c r="G10" s="41">
        <f>IFERROR(GETPIVOTDATA("[Measures].[Count of Tip procedura]",Pivot_Leveling!$A$3,"[Tipul_Procedurii].[Procedura]","[Tipul_Procedurii].[Procedura].&amp;[Procedura proprie]","[Responsabil_achizitie].[Responsabil achizitie]","[Responsabil_achizitie].[Responsabil achizitie].&amp;[NEGREA Andrei]"),0)</f>
        <v>0</v>
      </c>
      <c r="H10" s="41">
        <f>IFERROR(GETPIVOTDATA("[Measures].[Count of Tip procedura 3]",Pivot_Leveling!$A$3,"[Tipul_Procedurii].[Procedura]","[Tipul_Procedurii].[Procedura].&amp;[Procedura proprie]","[Responsabil_achizitie].[Responsabil achizitie]","[Responsabil_achizitie].[Responsabil achizitie].&amp;[NEGREA Andrei]"),0)</f>
        <v>0</v>
      </c>
      <c r="I10" s="41">
        <f>IFERROR(GETPIVOTDATA("[Measures].[Count of Tip procedura 2]",Pivot_Leveling!$A$3,"[Tipul_Procedurii].[Procedura]","[Tipul_Procedurii].[Procedura].&amp;[Procedura simplificata]","[Responsabil_achizitie].[Responsabil achizitie]","[Responsabil_achizitie].[Responsabil achizitie].&amp;[NEGREA Andrei]"),0)</f>
        <v>0</v>
      </c>
      <c r="J10" s="41">
        <f>IFERROR(GETPIVOTDATA("[Measures].[Count of Tip procedura 3]",Pivot_Leveling!$A$3,"[Tipul_Procedurii].[Procedura]","[Tipul_Procedurii].[Procedura].&amp;[Procedura simplificata]","[Responsabil_achizitie].[Responsabil achizitie]","[Responsabil_achizitie].[Responsabil achizitie].&amp;[NEGREA Andrei]"),0)</f>
        <v>0</v>
      </c>
      <c r="K10" s="41">
        <f>IFERROR(GETPIVOTDATA("[Measures].[Count of Tip procedura 2]",Pivot_Leveling!$A$3,"[Tipul_Procedurii].[Procedura]","[Tipul_Procedurii].[Procedura].&amp;[Licitatie deschisa]","[Responsabil_achizitie].[Responsabil achizitie]","[Responsabil_achizitie].[Responsabil achizitie].&amp;[NEGREA Andrei]"),0)</f>
        <v>1</v>
      </c>
      <c r="L10" s="41">
        <f>IFERROR(GETPIVOTDATA("[Measures].[Count of Tip procedura 3]",Pivot_Leveling!$A$3,"[Tipul_Procedurii].[Procedura]","[Tipul_Procedurii].[Procedura].&amp;[Licitatie deschisa]","[Responsabil_achizitie].[Responsabil achizitie]","[Responsabil_achizitie].[Responsabil achizitie].&amp;[NEGREA Andrei]"),0)</f>
        <v>0</v>
      </c>
      <c r="M10" s="39">
        <f t="shared" si="0"/>
        <v>1</v>
      </c>
    </row>
    <row r="11" spans="1:13" x14ac:dyDescent="0.25">
      <c r="A11" s="36" t="s">
        <v>162</v>
      </c>
      <c r="B11" s="41">
        <f>IFERROR(GETPIVOTDATA("[Measures].[Count of Tip AD]",Pivot_Leveling!$A$3,"[Tipul_Procedurii].[Procedura]","[Tipul_Procedurii].[Procedura].&amp;[AD complexa]","[Responsabil_achizitie].[Responsabil achizitie]","[Responsabil_achizitie].[Responsabil achizitie].&amp;[OANĂ Elena]"),0)</f>
        <v>0</v>
      </c>
      <c r="C11" s="41">
        <f>IFERROR(GETPIVOTDATA("[Measures].[Count of Tip procedura 3]",Pivot_Leveling!$A$3,"[Tipul_Procedurii].[Procedura]","[Tipul_Procedurii].[Procedura].&amp;[AD complexa]","[Responsabil_achizitie].[Responsabil achizitie]","[Responsabil_achizitie].[Responsabil achizitie].&amp;[OANĂ Elena]"),0)</f>
        <v>0</v>
      </c>
      <c r="D11" s="41">
        <f>IFERROR(GETPIVOTDATA("[Measures].[Count of Tip AD]",Pivot_Leveling!$A$3,"[Tipul_Procedurii].[Procedura]","[Tipul_Procedurii].[Procedura].&amp;[AD simpla]","[Responsabil_achizitie].[Responsabil achizitie]","[Responsabil_achizitie].[Responsabil achizitie].&amp;[OANĂ Elena]"),0)</f>
        <v>0</v>
      </c>
      <c r="E11" s="41">
        <f>IFERROR(GETPIVOTDATA("[Measures].[Count of Tip procedura 3]",Pivot_Leveling!$A$3,"[Tipul_Procedurii].[Procedura]","[Tipul_Procedurii].[Procedura].&amp;[AD simpla]","[Responsabil_achizitie].[Responsabil achizitie]","[Responsabil_achizitie].[Responsabil achizitie].&amp;[OANĂ Elena]"),0)</f>
        <v>0</v>
      </c>
      <c r="F11" s="41">
        <f>IFERROR(GETPIVOTDATA("[Measures].[Count of Tip procedura]",Pivot_Leveling!$A$3,"[Tipul_Procedurii].[Procedura]","[Tipul_Procedurii].[Procedura].&amp;[Exceptie art. 29 L98/2016]","[Responsabil_achizitie].[Responsabil achizitie]","[Responsabil_achizitie].[Responsabil achizitie].&amp;[OANĂ Elena]"),0)</f>
        <v>0</v>
      </c>
      <c r="G11" s="41">
        <f>IFERROR(GETPIVOTDATA("[Measures].[Count of Tip procedura]",Pivot_Leveling!$A$3,"[Tipul_Procedurii].[Procedura]","[Tipul_Procedurii].[Procedura].&amp;[Procedura proprie]","[Responsabil_achizitie].[Responsabil achizitie]","[Responsabil_achizitie].[Responsabil achizitie].&amp;[OANĂ Elena]"),0)</f>
        <v>0</v>
      </c>
      <c r="H11" s="41">
        <f>IFERROR(GETPIVOTDATA("[Measures].[Count of Tip procedura 3]",Pivot_Leveling!$A$3,"[Tipul_Procedurii].[Procedura]","[Tipul_Procedurii].[Procedura].&amp;[Procedura proprie]","[Responsabil_achizitie].[Responsabil achizitie]","[Responsabil_achizitie].[Responsabil achizitie].&amp;[OANĂ Elena]"),0)</f>
        <v>0</v>
      </c>
      <c r="I11" s="41">
        <f>IFERROR(GETPIVOTDATA("[Measures].[Count of Tip procedura 2]",Pivot_Leveling!$A$3,"[Tipul_Procedurii].[Procedura]","[Tipul_Procedurii].[Procedura].&amp;[Procedura simplificata]","[Responsabil_achizitie].[Responsabil achizitie]","[Responsabil_achizitie].[Responsabil achizitie].&amp;[OANĂ Elena]"),0)</f>
        <v>0</v>
      </c>
      <c r="J11" s="41">
        <f>IFERROR(GETPIVOTDATA("[Measures].[Count of Tip procedura 3]",Pivot_Leveling!$A$3,"[Tipul_Procedurii].[Procedura]","[Tipul_Procedurii].[Procedura].&amp;[Procedura simplificata]","[Responsabil_achizitie].[Responsabil achizitie]","[Responsabil_achizitie].[Responsabil achizitie].&amp;[OANĂ Elena]"),0)</f>
        <v>0</v>
      </c>
      <c r="K11" s="41">
        <f>IFERROR(GETPIVOTDATA("[Measures].[Count of Tip procedura 2]",Pivot_Leveling!$A$3,"[Tipul_Procedurii].[Procedura]","[Tipul_Procedurii].[Procedura].&amp;[Licitatie deschisa]","[Responsabil_achizitie].[Responsabil achizitie]","[Responsabil_achizitie].[Responsabil achizitie].&amp;[OANĂ Elena]"),0)</f>
        <v>0</v>
      </c>
      <c r="L11" s="41">
        <f>IFERROR(GETPIVOTDATA("[Measures].[Count of Tip procedura 3]",Pivot_Leveling!$A$3,"[Tipul_Procedurii].[Procedura]","[Tipul_Procedurii].[Procedura].&amp;[Licitatie deschisa]","[Responsabil_achizitie].[Responsabil achizitie]","[Responsabil_achizitie].[Responsabil achizitie].&amp;[OANĂ Elena]"),0)</f>
        <v>0</v>
      </c>
      <c r="M11" s="39">
        <f t="shared" si="0"/>
        <v>0</v>
      </c>
    </row>
    <row r="12" spans="1:13" x14ac:dyDescent="0.25">
      <c r="A12" s="36" t="s">
        <v>168</v>
      </c>
      <c r="B12" s="41">
        <f>IFERROR(GETPIVOTDATA("[Measures].[Count of Tip AD]",Pivot_Leveling!$A$3,"[Tipul_Procedurii].[Procedura]","[Tipul_Procedurii].[Procedura].&amp;[AD complexa]","[Responsabil_achizitie].[Responsabil achizitie]","[Responsabil_achizitie].[Responsabil achizitie].&amp;[OLTEANU Felicia]"),0)</f>
        <v>0</v>
      </c>
      <c r="C12" s="41">
        <f>IFERROR(GETPIVOTDATA("[Measures].[Count of Tip procedura 3]",Pivot_Leveling!$A$3,"[Tipul_Procedurii].[Procedura]","[Tipul_Procedurii].[Procedura].&amp;[AD complexa]","[Responsabil_achizitie].[Responsabil achizitie]","[Responsabil_achizitie].[Responsabil achizitie].&amp;[OLTEANU Felicia]"),0)</f>
        <v>0</v>
      </c>
      <c r="D12" s="41">
        <f>IFERROR(GETPIVOTDATA("[Measures].[Count of Tip AD]",Pivot_Leveling!$A$3,"[Tipul_Procedurii].[Procedura]","[Tipul_Procedurii].[Procedura].&amp;[AD simpla]","[Responsabil_achizitie].[Responsabil achizitie]","[Responsabil_achizitie].[Responsabil achizitie].&amp;[OLTEANU Felicia]"),0)</f>
        <v>0</v>
      </c>
      <c r="E12" s="41">
        <f>IFERROR(GETPIVOTDATA("[Measures].[Count of Tip procedura 3]",Pivot_Leveling!$A$3,"[Tipul_Procedurii].[Procedura]","[Tipul_Procedurii].[Procedura].&amp;[AD simpla]","[Responsabil_achizitie].[Responsabil achizitie]","[Responsabil_achizitie].[Responsabil achizitie].&amp;[OLTEANU Felicia]"),0)</f>
        <v>0</v>
      </c>
      <c r="F12" s="41">
        <f>IFERROR(GETPIVOTDATA("[Measures].[Count of Tip procedura]",Pivot_Leveling!$A$3,"[Tipul_Procedurii].[Procedura]","[Tipul_Procedurii].[Procedura].&amp;[Exceptie art. 29 L98/2016]","[Responsabil_achizitie].[Responsabil achizitie]","[Responsabil_achizitie].[Responsabil achizitie].&amp;[OLTEANU Felicia]"),0)</f>
        <v>0</v>
      </c>
      <c r="G12" s="41">
        <f>IFERROR(GETPIVOTDATA("[Measures].[Count of Tip procedura]",Pivot_Leveling!$A$3,"[Tipul_Procedurii].[Procedura]","[Tipul_Procedurii].[Procedura].&amp;[Procedura proprie]","[Responsabil_achizitie].[Responsabil achizitie]","[Responsabil_achizitie].[Responsabil achizitie].&amp;[OLTEANU Felicia]"),0)</f>
        <v>0</v>
      </c>
      <c r="H12" s="41">
        <f>IFERROR(GETPIVOTDATA("[Measures].[Count of Tip procedura 3]",Pivot_Leveling!$A$3,"[Tipul_Procedurii].[Procedura]","[Tipul_Procedurii].[Procedura].&amp;[Procedura proprie]","[Responsabil_achizitie].[Responsabil achizitie]","[Responsabil_achizitie].[Responsabil achizitie].&amp;[OLTEANU Felicia]"),0)</f>
        <v>0</v>
      </c>
      <c r="I12" s="41">
        <f>IFERROR(GETPIVOTDATA("[Measures].[Count of Tip procedura 2]",Pivot_Leveling!$A$3,"[Tipul_Procedurii].[Procedura]","[Tipul_Procedurii].[Procedura].&amp;[Procedura simplificata]","[Responsabil_achizitie].[Responsabil achizitie]","[Responsabil_achizitie].[Responsabil achizitie].&amp;[OLTEANU Felicia]"),0)</f>
        <v>0</v>
      </c>
      <c r="J12" s="41">
        <f>IFERROR(GETPIVOTDATA("[Measures].[Count of Tip procedura 3]",Pivot_Leveling!$A$3,"[Tipul_Procedurii].[Procedura]","[Tipul_Procedurii].[Procedura].&amp;[Procedura simplificata]","[Responsabil_achizitie].[Responsabil achizitie]","[Responsabil_achizitie].[Responsabil achizitie].&amp;[OLTEANU Felicia]"),0)</f>
        <v>0</v>
      </c>
      <c r="K12" s="41">
        <f>IFERROR(GETPIVOTDATA("[Measures].[Count of Tip procedura 2]",Pivot_Leveling!$A$3,"[Tipul_Procedurii].[Procedura]","[Tipul_Procedurii].[Procedura].&amp;[Licitatie deschisa]","[Responsabil_achizitie].[Responsabil achizitie]","[Responsabil_achizitie].[Responsabil achizitie].&amp;[OLTEANU Felicia]"),0)</f>
        <v>0</v>
      </c>
      <c r="L12" s="41">
        <f>IFERROR(GETPIVOTDATA("[Measures].[Count of Tip procedura 3]",Pivot_Leveling!$A$3,"[Tipul_Procedurii].[Procedura]","[Tipul_Procedurii].[Procedura].&amp;[Licitatie deschisa]","[Responsabil_achizitie].[Responsabil achizitie]","[Responsabil_achizitie].[Responsabil achizitie].&amp;[OLTEANU Felicia]"),0)</f>
        <v>0</v>
      </c>
      <c r="M12" s="39">
        <f t="shared" si="0"/>
        <v>0</v>
      </c>
    </row>
    <row r="13" spans="1:13" x14ac:dyDescent="0.25">
      <c r="A13" s="36" t="s">
        <v>38</v>
      </c>
      <c r="B13" s="41">
        <f>IFERROR(GETPIVOTDATA("[Measures].[Count of Tip AD]",Pivot_Leveling!$A$3,"[Tipul_Procedurii].[Procedura]","[Tipul_Procedurii].[Procedura].&amp;[AD complexa]","[Responsabil_achizitie].[Responsabil achizitie]","[Responsabil_achizitie].[Responsabil achizitie].&amp;[SAMOILA Maria]"),0)</f>
        <v>0</v>
      </c>
      <c r="C13" s="41">
        <f>IFERROR(GETPIVOTDATA("[Measures].[Count of Tip procedura 3]",Pivot_Leveling!$A$3,"[Tipul_Procedurii].[Procedura]","[Tipul_Procedurii].[Procedura].&amp;[AD complexa]","[Responsabil_achizitie].[Responsabil achizitie]","[Responsabil_achizitie].[Responsabil achizitie].&amp;[SAMOILA Maria]"),0)</f>
        <v>0</v>
      </c>
      <c r="D13" s="41">
        <f>IFERROR(GETPIVOTDATA("[Measures].[Count of Tip AD]",Pivot_Leveling!$A$3,"[Tipul_Procedurii].[Procedura]","[Tipul_Procedurii].[Procedura].&amp;[AD simpla]","[Responsabil_achizitie].[Responsabil achizitie]","[Responsabil_achizitie].[Responsabil achizitie].&amp;[SAMOILA Maria]"),0)</f>
        <v>0</v>
      </c>
      <c r="E13" s="41">
        <f>IFERROR(GETPIVOTDATA("[Measures].[Count of Tip procedura 3]",Pivot_Leveling!$A$3,"[Tipul_Procedurii].[Procedura]","[Tipul_Procedurii].[Procedura].&amp;[AD simpla]","[Responsabil_achizitie].[Responsabil achizitie]","[Responsabil_achizitie].[Responsabil achizitie].&amp;[SAMOILA Maria]"),0)</f>
        <v>0</v>
      </c>
      <c r="F13" s="41">
        <f>IFERROR(GETPIVOTDATA("[Measures].[Count of Tip procedura]",Pivot_Leveling!$A$3,"[Tipul_Procedurii].[Procedura]","[Tipul_Procedurii].[Procedura].&amp;[Exceptie art. 29 L98/2016]","[Responsabil_achizitie].[Responsabil achizitie]","[Responsabil_achizitie].[Responsabil achizitie].&amp;[SAMOILA Maria]"),0)</f>
        <v>0</v>
      </c>
      <c r="G13" s="41">
        <f>IFERROR(GETPIVOTDATA("[Measures].[Count of Tip procedura]",Pivot_Leveling!$A$3,"[Tipul_Procedurii].[Procedura]","[Tipul_Procedurii].[Procedura].&amp;[Procedura proprie]","[Responsabil_achizitie].[Responsabil achizitie]","[Responsabil_achizitie].[Responsabil achizitie].&amp;[SAMOILA Maria]"),0)</f>
        <v>0</v>
      </c>
      <c r="H13" s="41">
        <f>IFERROR(GETPIVOTDATA("[Measures].[Count of Tip procedura 3]",Pivot_Leveling!$A$3,"[Tipul_Procedurii].[Procedura]","[Tipul_Procedurii].[Procedura].&amp;[Procedura proprie]","[Responsabil_achizitie].[Responsabil achizitie]","[Responsabil_achizitie].[Responsabil achizitie].&amp;[SAMOILA Maria]"),0)</f>
        <v>0</v>
      </c>
      <c r="I13" s="41">
        <f>IFERROR(GETPIVOTDATA("[Measures].[Count of Tip procedura 2]",Pivot_Leveling!$A$3,"[Tipul_Procedurii].[Procedura]","[Tipul_Procedurii].[Procedura].&amp;[Procedura simplificata]","[Responsabil_achizitie].[Responsabil achizitie]","[Responsabil_achizitie].[Responsabil achizitie].&amp;[SAMOILA Maria]"),0)</f>
        <v>0</v>
      </c>
      <c r="J13" s="41">
        <f>IFERROR(GETPIVOTDATA("[Measures].[Count of Tip procedura 3]",Pivot_Leveling!$A$3,"[Tipul_Procedurii].[Procedura]","[Tipul_Procedurii].[Procedura].&amp;[Procedura simplificata]","[Responsabil_achizitie].[Responsabil achizitie]","[Responsabil_achizitie].[Responsabil achizitie].&amp;[SAMOILA Maria]"),0)</f>
        <v>0</v>
      </c>
      <c r="K13" s="41">
        <f>IFERROR(GETPIVOTDATA("[Measures].[Count of Tip procedura 2]",Pivot_Leveling!$A$3,"[Tipul_Procedurii].[Procedura]","[Tipul_Procedurii].[Procedura].&amp;[Licitatie deschisa]","[Responsabil_achizitie].[Responsabil achizitie]","[Responsabil_achizitie].[Responsabil achizitie].&amp;[SAMOILA Maria]"),0)</f>
        <v>0</v>
      </c>
      <c r="L13" s="41">
        <f>IFERROR(GETPIVOTDATA("[Measures].[Count of Tip procedura 3]",Pivot_Leveling!$A$3,"[Tipul_Procedurii].[Procedura]","[Tipul_Procedurii].[Procedura].&amp;[Licitatie deschisa]","[Responsabil_achizitie].[Responsabil achizitie]","[Responsabil_achizitie].[Responsabil achizitie].&amp;[SAMOILA Maria]"),0)</f>
        <v>0</v>
      </c>
      <c r="M13" s="39">
        <f t="shared" si="0"/>
        <v>0</v>
      </c>
    </row>
    <row r="14" spans="1:13" x14ac:dyDescent="0.25">
      <c r="A14" s="36" t="s">
        <v>41</v>
      </c>
      <c r="B14" s="41">
        <f>IFERROR(GETPIVOTDATA("[Measures].[Count of Tip AD]",Pivot_Leveling!$A$3,"[Tipul_Procedurii].[Procedura]","[Tipul_Procedurii].[Procedura].&amp;[AD complexa]","[Responsabil_achizitie].[Responsabil achizitie]","[Responsabil_achizitie].[Responsabil achizitie].&amp;[TEODORESCU Margareta]"),0)</f>
        <v>2</v>
      </c>
      <c r="C14" s="41">
        <f>IFERROR(GETPIVOTDATA("[Measures].[Count of Tip procedura 3]",Pivot_Leveling!$A$3,"[Tipul_Procedurii].[Procedura]","[Tipul_Procedurii].[Procedura].&amp;[AD complexa]","[Responsabil_achizitie].[Responsabil achizitie]","[Responsabil_achizitie].[Responsabil achizitie].&amp;[TEODORESCU Margareta]"),0)</f>
        <v>0</v>
      </c>
      <c r="D14" s="41">
        <f>IFERROR(GETPIVOTDATA("[Measures].[Count of Tip AD]",Pivot_Leveling!$A$3,"[Tipul_Procedurii].[Procedura]","[Tipul_Procedurii].[Procedura].&amp;[AD simpla]","[Responsabil_achizitie].[Responsabil achizitie]","[Responsabil_achizitie].[Responsabil achizitie].&amp;[TEODORESCU Margareta]"),0)</f>
        <v>0</v>
      </c>
      <c r="E14" s="41">
        <f>IFERROR(GETPIVOTDATA("[Measures].[Count of Tip procedura 3]",Pivot_Leveling!$A$3,"[Tipul_Procedurii].[Procedura]","[Tipul_Procedurii].[Procedura].&amp;[AD simpla]","[Responsabil_achizitie].[Responsabil achizitie]","[Responsabil_achizitie].[Responsabil achizitie].&amp;[TEODORESCU Margareta]"),0)</f>
        <v>0</v>
      </c>
      <c r="F14" s="41">
        <f>IFERROR(GETPIVOTDATA("[Measures].[Count of Tip procedura]",Pivot_Leveling!$A$3,"[Tipul_Procedurii].[Procedura]","[Tipul_Procedurii].[Procedura].&amp;[Exceptie art. 29 L98/2016]","[Responsabil_achizitie].[Responsabil achizitie]","[Responsabil_achizitie].[Responsabil achizitie].&amp;[TEODORESCU Margareta]"),0)</f>
        <v>0</v>
      </c>
      <c r="G14" s="41">
        <f>IFERROR(GETPIVOTDATA("[Measures].[Count of Tip procedura]",Pivot_Leveling!$A$3,"[Tipul_Procedurii].[Procedura]","[Tipul_Procedurii].[Procedura].&amp;[Procedura proprie]","[Responsabil_achizitie].[Responsabil achizitie]","[Responsabil_achizitie].[Responsabil achizitie].&amp;[TEODORESCU Margareta]"),0)</f>
        <v>0</v>
      </c>
      <c r="H14" s="41">
        <f>IFERROR(GETPIVOTDATA("[Measures].[Count of Tip procedura 3]",Pivot_Leveling!$A$3,"[Tipul_Procedurii].[Procedura]","[Tipul_Procedurii].[Procedura].&amp;[Procedura proprie]","[Responsabil_achizitie].[Responsabil achizitie]","[Responsabil_achizitie].[Responsabil achizitie].&amp;[TEODORESCU Margareta]"),0)</f>
        <v>0</v>
      </c>
      <c r="I14" s="41">
        <f>IFERROR(GETPIVOTDATA("[Measures].[Count of Tip procedura 2]",Pivot_Leveling!$A$3,"[Tipul_Procedurii].[Procedura]","[Tipul_Procedurii].[Procedura].&amp;[Procedura simplificata]","[Responsabil_achizitie].[Responsabil achizitie]","[Responsabil_achizitie].[Responsabil achizitie].&amp;[TEODORESCU Margareta]"),0)</f>
        <v>0</v>
      </c>
      <c r="J14" s="41">
        <f>IFERROR(GETPIVOTDATA("[Measures].[Count of Tip procedura 3]",Pivot_Leveling!$A$3,"[Tipul_Procedurii].[Procedura]","[Tipul_Procedurii].[Procedura].&amp;[Procedura simplificata]","[Responsabil_achizitie].[Responsabil achizitie]","[Responsabil_achizitie].[Responsabil achizitie].&amp;[TEODORESCU Margareta]"),0)</f>
        <v>0</v>
      </c>
      <c r="K14" s="41">
        <f>IFERROR(GETPIVOTDATA("[Measures].[Count of Tip procedura 2]",Pivot_Leveling!$A$3,"[Tipul_Procedurii].[Procedura]","[Tipul_Procedurii].[Procedura].&amp;[Licitatie deschisa]","[Responsabil_achizitie].[Responsabil achizitie]","[Responsabil_achizitie].[Responsabil achizitie].&amp;[TEODORESCU Margareta]"),0)</f>
        <v>0</v>
      </c>
      <c r="L14" s="41">
        <f>IFERROR(GETPIVOTDATA("[Measures].[Count of Tip procedura 3]",Pivot_Leveling!$A$3,"[Tipul_Procedurii].[Procedura]","[Tipul_Procedurii].[Procedura].&amp;[Licitatie deschisa]","[Responsabil_achizitie].[Responsabil achizitie]","[Responsabil_achizitie].[Responsabil achizitie].&amp;[TEODORESCU Margareta]"),0)</f>
        <v>0</v>
      </c>
      <c r="M14" s="39">
        <f t="shared" si="0"/>
        <v>2</v>
      </c>
    </row>
    <row r="15" spans="1:13" x14ac:dyDescent="0.25">
      <c r="A15" s="36" t="s">
        <v>33</v>
      </c>
      <c r="B15" s="41">
        <f>IFERROR(GETPIVOTDATA("[Measures].[Count of Tip AD]",Pivot_Leveling!$A$3,"[Tipul_Procedurii].[Procedura]","[Tipul_Procedurii].[Procedura].&amp;[AD complexa]","[Responsabil_achizitie].[Responsabil achizitie]","[Responsabil_achizitie].[Responsabil achizitie].&amp;[ZLOTEA Liliana]"),0)</f>
        <v>0</v>
      </c>
      <c r="C15" s="41">
        <f>IFERROR(GETPIVOTDATA("[Measures].[Count of Tip procedura 3]",Pivot_Leveling!$A$3,"[Tipul_Procedurii].[Procedura]","[Tipul_Procedurii].[Procedura].&amp;[AD complexa]","[Responsabil_achizitie].[Responsabil achizitie]","[Responsabil_achizitie].[Responsabil achizitie].&amp;[ZLOTEA Liliana]"),0)</f>
        <v>2</v>
      </c>
      <c r="D15" s="41">
        <f>IFERROR(GETPIVOTDATA("[Measures].[Count of Tip AD]",Pivot_Leveling!$A$3,"[Tipul_Procedurii].[Procedura]","[Tipul_Procedurii].[Procedura].&amp;[AD simpla]","[Responsabil_achizitie].[Responsabil achizitie]","[Responsabil_achizitie].[Responsabil achizitie].&amp;[ZLOTEA Liliana]"),0)</f>
        <v>0</v>
      </c>
      <c r="E15" s="41">
        <f>IFERROR(GETPIVOTDATA("[Measures].[Count of Tip procedura 3]",Pivot_Leveling!$A$3,"[Tipul_Procedurii].[Procedura]","[Tipul_Procedurii].[Procedura].&amp;[AD simpla]","[Responsabil_achizitie].[Responsabil achizitie]","[Responsabil_achizitie].[Responsabil achizitie].&amp;[ZLOTEA Liliana]"),0)</f>
        <v>3</v>
      </c>
      <c r="F15" s="41">
        <f>IFERROR(GETPIVOTDATA("[Measures].[Count of Tip procedura]",Pivot_Leveling!$A$3,"[Tipul_Procedurii].[Procedura]","[Tipul_Procedurii].[Procedura].&amp;[Exceptie art. 29 L98/2016]","[Responsabil_achizitie].[Responsabil achizitie]","[Responsabil_achizitie].[Responsabil achizitie].&amp;[ZLOTEA Liliana]"),0)</f>
        <v>0</v>
      </c>
      <c r="G15" s="41">
        <f>IFERROR(GETPIVOTDATA("[Measures].[Count of Tip procedura]",Pivot_Leveling!$A$3,"[Tipul_Procedurii].[Procedura]","[Tipul_Procedurii].[Procedura].&amp;[Procedura proprie]","[Responsabil_achizitie].[Responsabil achizitie]","[Responsabil_achizitie].[Responsabil achizitie].&amp;[ZLOTEA Liliana]"),0)</f>
        <v>0</v>
      </c>
      <c r="H15" s="41">
        <f>IFERROR(GETPIVOTDATA("[Measures].[Count of Tip procedura 3]",Pivot_Leveling!$A$3,"[Tipul_Procedurii].[Procedura]","[Tipul_Procedurii].[Procedura].&amp;[Procedura proprie]","[Responsabil_achizitie].[Responsabil achizitie]","[Responsabil_achizitie].[Responsabil achizitie].&amp;[ZLOTEA Liliana]"),0)</f>
        <v>2</v>
      </c>
      <c r="I15" s="41">
        <f>IFERROR(GETPIVOTDATA("[Measures].[Count of Tip procedura 2]",Pivot_Leveling!$A$3,"[Tipul_Procedurii].[Procedura]","[Tipul_Procedurii].[Procedura].&amp;[Procedura simplificata]","[Responsabil_achizitie].[Responsabil achizitie]","[Responsabil_achizitie].[Responsabil achizitie].&amp;[ZLOTEA Liliana]"),0)</f>
        <v>1</v>
      </c>
      <c r="J15" s="41">
        <f>IFERROR(GETPIVOTDATA("[Measures].[Count of Tip procedura 3]",Pivot_Leveling!$A$3,"[Tipul_Procedurii].[Procedura]","[Tipul_Procedurii].[Procedura].&amp;[Procedura simplificata]","[Responsabil_achizitie].[Responsabil achizitie]","[Responsabil_achizitie].[Responsabil achizitie].&amp;[ZLOTEA Liliana]"),0)</f>
        <v>2</v>
      </c>
      <c r="K15" s="41">
        <f>IFERROR(GETPIVOTDATA("[Measures].[Count of Tip procedura 2]",Pivot_Leveling!$A$3,"[Tipul_Procedurii].[Procedura]","[Tipul_Procedurii].[Procedura].&amp;[Licitatie deschisa]","[Responsabil_achizitie].[Responsabil achizitie]","[Responsabil_achizitie].[Responsabil achizitie].&amp;[ZLOTEA Liliana]"),0)</f>
        <v>0</v>
      </c>
      <c r="L15" s="41">
        <f>IFERROR(GETPIVOTDATA("[Measures].[Count of Tip procedura 3]",Pivot_Leveling!$A$3,"[Tipul_Procedurii].[Procedura]","[Tipul_Procedurii].[Procedura].&amp;[Licitatie deschisa]","[Responsabil_achizitie].[Responsabil achizitie]","[Responsabil_achizitie].[Responsabil achizitie].&amp;[ZLOTEA Liliana]"),0)</f>
        <v>0</v>
      </c>
      <c r="M15" s="39">
        <f t="shared" si="0"/>
        <v>10</v>
      </c>
    </row>
    <row r="16" spans="1:13" x14ac:dyDescent="0.25">
      <c r="A16" s="37" t="s">
        <v>182</v>
      </c>
      <c r="B16" s="35">
        <f t="shared" ref="B16:L16" si="1">SUBTOTAL(9,B3:B15)</f>
        <v>11</v>
      </c>
      <c r="C16" s="35">
        <f t="shared" si="1"/>
        <v>6</v>
      </c>
      <c r="D16" s="35">
        <f t="shared" si="1"/>
        <v>0</v>
      </c>
      <c r="E16" s="35">
        <f t="shared" si="1"/>
        <v>3</v>
      </c>
      <c r="F16" s="35">
        <f t="shared" si="1"/>
        <v>0</v>
      </c>
      <c r="G16" s="35">
        <f t="shared" si="1"/>
        <v>0</v>
      </c>
      <c r="H16" s="35">
        <f t="shared" si="1"/>
        <v>3</v>
      </c>
      <c r="I16" s="35">
        <f t="shared" si="1"/>
        <v>2</v>
      </c>
      <c r="J16" s="35">
        <f t="shared" si="1"/>
        <v>5</v>
      </c>
      <c r="K16" s="35">
        <f t="shared" si="1"/>
        <v>3</v>
      </c>
      <c r="L16" s="35">
        <f t="shared" si="1"/>
        <v>0</v>
      </c>
      <c r="M16" s="35">
        <f>SUM(M3:M15)</f>
        <v>33</v>
      </c>
    </row>
    <row r="18" spans="1:13" ht="3" customHeight="1" x14ac:dyDescent="0.25"/>
    <row r="19" spans="1:13" ht="22.5" customHeight="1" x14ac:dyDescent="0.25">
      <c r="A19" s="27"/>
      <c r="B19" s="38">
        <v>8</v>
      </c>
      <c r="C19" s="38">
        <v>8</v>
      </c>
      <c r="D19" s="38">
        <v>3</v>
      </c>
      <c r="E19" s="38">
        <v>3</v>
      </c>
      <c r="F19" s="38">
        <v>13</v>
      </c>
      <c r="G19" s="38">
        <v>13</v>
      </c>
      <c r="H19" s="38">
        <v>13</v>
      </c>
      <c r="I19" s="38">
        <v>25</v>
      </c>
      <c r="J19" s="38">
        <v>25</v>
      </c>
      <c r="K19" s="38">
        <v>35</v>
      </c>
      <c r="L19" s="38">
        <v>35</v>
      </c>
      <c r="M19" s="38">
        <f>(22*11*14)+185</f>
        <v>3573</v>
      </c>
    </row>
    <row r="20" spans="1:13" ht="39" customHeight="1" x14ac:dyDescent="0.25">
      <c r="A20" s="42" t="s">
        <v>184</v>
      </c>
      <c r="B20" s="40" t="s">
        <v>181</v>
      </c>
      <c r="C20" s="40" t="s">
        <v>292</v>
      </c>
      <c r="D20" s="40" t="s">
        <v>172</v>
      </c>
      <c r="E20" s="40" t="s">
        <v>293</v>
      </c>
      <c r="F20" s="40" t="s">
        <v>294</v>
      </c>
      <c r="G20" s="40" t="s">
        <v>52</v>
      </c>
      <c r="H20" s="40" t="s">
        <v>295</v>
      </c>
      <c r="I20" s="40" t="s">
        <v>174</v>
      </c>
      <c r="J20" s="40" t="s">
        <v>296</v>
      </c>
      <c r="K20" s="40" t="s">
        <v>13</v>
      </c>
      <c r="L20" s="40" t="s">
        <v>297</v>
      </c>
      <c r="M20" s="40" t="s">
        <v>185</v>
      </c>
    </row>
    <row r="21" spans="1:13" x14ac:dyDescent="0.25">
      <c r="A21" s="27" t="s">
        <v>148</v>
      </c>
      <c r="B21" s="34">
        <f t="shared" ref="B21:L21" si="2">B3*B$19</f>
        <v>16</v>
      </c>
      <c r="C21" s="34">
        <f t="shared" si="2"/>
        <v>0</v>
      </c>
      <c r="D21" s="34">
        <f t="shared" si="2"/>
        <v>0</v>
      </c>
      <c r="E21" s="34">
        <f t="shared" si="2"/>
        <v>0</v>
      </c>
      <c r="F21" s="34">
        <f t="shared" si="2"/>
        <v>0</v>
      </c>
      <c r="G21" s="34">
        <f t="shared" si="2"/>
        <v>0</v>
      </c>
      <c r="H21" s="34">
        <f t="shared" si="2"/>
        <v>0</v>
      </c>
      <c r="I21" s="34">
        <f t="shared" si="2"/>
        <v>0</v>
      </c>
      <c r="J21" s="34">
        <f t="shared" si="2"/>
        <v>0</v>
      </c>
      <c r="K21" s="34">
        <f t="shared" si="2"/>
        <v>0</v>
      </c>
      <c r="L21" s="34">
        <f t="shared" si="2"/>
        <v>0</v>
      </c>
      <c r="M21" s="39">
        <f>SUBTOTAL(9,B21:L21)</f>
        <v>16</v>
      </c>
    </row>
    <row r="22" spans="1:13" x14ac:dyDescent="0.25">
      <c r="A22" s="27" t="s">
        <v>14</v>
      </c>
      <c r="B22" s="34">
        <f t="shared" ref="B22:L22" si="3">B4*B$19</f>
        <v>0</v>
      </c>
      <c r="C22" s="34">
        <f t="shared" si="3"/>
        <v>16</v>
      </c>
      <c r="D22" s="34">
        <f t="shared" si="3"/>
        <v>0</v>
      </c>
      <c r="E22" s="34">
        <f t="shared" si="3"/>
        <v>0</v>
      </c>
      <c r="F22" s="34">
        <f t="shared" si="3"/>
        <v>0</v>
      </c>
      <c r="G22" s="34">
        <f t="shared" si="3"/>
        <v>0</v>
      </c>
      <c r="H22" s="34">
        <f t="shared" si="3"/>
        <v>0</v>
      </c>
      <c r="I22" s="34">
        <f t="shared" si="3"/>
        <v>0</v>
      </c>
      <c r="J22" s="34">
        <f t="shared" si="3"/>
        <v>25</v>
      </c>
      <c r="K22" s="34">
        <f t="shared" si="3"/>
        <v>0</v>
      </c>
      <c r="L22" s="34">
        <f t="shared" si="3"/>
        <v>0</v>
      </c>
      <c r="M22" s="39">
        <f t="shared" ref="M22:M33" si="4">SUBTOTAL(9,B22:L22)</f>
        <v>41</v>
      </c>
    </row>
    <row r="23" spans="1:13" x14ac:dyDescent="0.25">
      <c r="A23" s="27" t="s">
        <v>154</v>
      </c>
      <c r="B23" s="34">
        <f t="shared" ref="B23:L23" si="5">B5*B$19</f>
        <v>32</v>
      </c>
      <c r="C23" s="34">
        <f t="shared" si="5"/>
        <v>0</v>
      </c>
      <c r="D23" s="34">
        <f t="shared" si="5"/>
        <v>0</v>
      </c>
      <c r="E23" s="34">
        <f t="shared" si="5"/>
        <v>0</v>
      </c>
      <c r="F23" s="34">
        <f t="shared" si="5"/>
        <v>0</v>
      </c>
      <c r="G23" s="34">
        <f t="shared" si="5"/>
        <v>0</v>
      </c>
      <c r="H23" s="34">
        <f t="shared" si="5"/>
        <v>0</v>
      </c>
      <c r="I23" s="34">
        <f t="shared" si="5"/>
        <v>25</v>
      </c>
      <c r="J23" s="34">
        <f t="shared" si="5"/>
        <v>0</v>
      </c>
      <c r="K23" s="34">
        <f t="shared" si="5"/>
        <v>0</v>
      </c>
      <c r="L23" s="34">
        <f t="shared" si="5"/>
        <v>0</v>
      </c>
      <c r="M23" s="39">
        <f t="shared" si="4"/>
        <v>57</v>
      </c>
    </row>
    <row r="24" spans="1:13" x14ac:dyDescent="0.25">
      <c r="A24" s="27" t="s">
        <v>27</v>
      </c>
      <c r="B24" s="34">
        <f t="shared" ref="B24:L24" si="6">B6*B$19</f>
        <v>0</v>
      </c>
      <c r="C24" s="34">
        <f t="shared" si="6"/>
        <v>0</v>
      </c>
      <c r="D24" s="34">
        <f t="shared" si="6"/>
        <v>0</v>
      </c>
      <c r="E24" s="34">
        <f t="shared" si="6"/>
        <v>0</v>
      </c>
      <c r="F24" s="34">
        <f t="shared" si="6"/>
        <v>0</v>
      </c>
      <c r="G24" s="34">
        <f t="shared" si="6"/>
        <v>0</v>
      </c>
      <c r="H24" s="34">
        <f t="shared" si="6"/>
        <v>13</v>
      </c>
      <c r="I24" s="34">
        <f t="shared" si="6"/>
        <v>0</v>
      </c>
      <c r="J24" s="34">
        <f t="shared" si="6"/>
        <v>50</v>
      </c>
      <c r="K24" s="34">
        <f t="shared" si="6"/>
        <v>35</v>
      </c>
      <c r="L24" s="34">
        <f t="shared" si="6"/>
        <v>0</v>
      </c>
      <c r="M24" s="39">
        <f t="shared" si="4"/>
        <v>98</v>
      </c>
    </row>
    <row r="25" spans="1:13" x14ac:dyDescent="0.25">
      <c r="A25" s="27" t="s">
        <v>23</v>
      </c>
      <c r="B25" s="34">
        <f t="shared" ref="B25:L25" si="7">B7*B$19</f>
        <v>0</v>
      </c>
      <c r="C25" s="34">
        <f t="shared" si="7"/>
        <v>16</v>
      </c>
      <c r="D25" s="34">
        <f t="shared" si="7"/>
        <v>0</v>
      </c>
      <c r="E25" s="34">
        <f t="shared" si="7"/>
        <v>0</v>
      </c>
      <c r="F25" s="34">
        <f t="shared" si="7"/>
        <v>0</v>
      </c>
      <c r="G25" s="34">
        <f t="shared" si="7"/>
        <v>0</v>
      </c>
      <c r="H25" s="34">
        <f t="shared" si="7"/>
        <v>0</v>
      </c>
      <c r="I25" s="34">
        <f t="shared" si="7"/>
        <v>0</v>
      </c>
      <c r="J25" s="34">
        <f t="shared" si="7"/>
        <v>0</v>
      </c>
      <c r="K25" s="34">
        <f t="shared" si="7"/>
        <v>0</v>
      </c>
      <c r="L25" s="34">
        <f t="shared" si="7"/>
        <v>0</v>
      </c>
      <c r="M25" s="39">
        <f t="shared" si="4"/>
        <v>16</v>
      </c>
    </row>
    <row r="26" spans="1:13" x14ac:dyDescent="0.25">
      <c r="A26" s="27" t="s">
        <v>30</v>
      </c>
      <c r="B26" s="34">
        <f t="shared" ref="B26:L26" si="8">B8*B$19</f>
        <v>24</v>
      </c>
      <c r="C26" s="34">
        <f t="shared" si="8"/>
        <v>0</v>
      </c>
      <c r="D26" s="34">
        <f t="shared" si="8"/>
        <v>0</v>
      </c>
      <c r="E26" s="34">
        <f t="shared" si="8"/>
        <v>0</v>
      </c>
      <c r="F26" s="34">
        <f t="shared" si="8"/>
        <v>0</v>
      </c>
      <c r="G26" s="34">
        <f t="shared" si="8"/>
        <v>0</v>
      </c>
      <c r="H26" s="34">
        <f t="shared" si="8"/>
        <v>0</v>
      </c>
      <c r="I26" s="34">
        <f t="shared" si="8"/>
        <v>0</v>
      </c>
      <c r="J26" s="34">
        <f t="shared" si="8"/>
        <v>0</v>
      </c>
      <c r="K26" s="34">
        <f t="shared" si="8"/>
        <v>0</v>
      </c>
      <c r="L26" s="34">
        <f t="shared" si="8"/>
        <v>0</v>
      </c>
      <c r="M26" s="39">
        <f t="shared" si="4"/>
        <v>24</v>
      </c>
    </row>
    <row r="27" spans="1:13" x14ac:dyDescent="0.25">
      <c r="A27" s="27" t="s">
        <v>20</v>
      </c>
      <c r="B27" s="34">
        <f t="shared" ref="B27:L27" si="9">B9*B$19</f>
        <v>0</v>
      </c>
      <c r="C27" s="34">
        <f t="shared" si="9"/>
        <v>0</v>
      </c>
      <c r="D27" s="34">
        <f t="shared" si="9"/>
        <v>0</v>
      </c>
      <c r="E27" s="34">
        <f t="shared" si="9"/>
        <v>0</v>
      </c>
      <c r="F27" s="34">
        <f t="shared" si="9"/>
        <v>0</v>
      </c>
      <c r="G27" s="34">
        <f t="shared" si="9"/>
        <v>0</v>
      </c>
      <c r="H27" s="34">
        <f t="shared" si="9"/>
        <v>0</v>
      </c>
      <c r="I27" s="34">
        <f t="shared" si="9"/>
        <v>0</v>
      </c>
      <c r="J27" s="34">
        <f t="shared" si="9"/>
        <v>0</v>
      </c>
      <c r="K27" s="34">
        <f t="shared" si="9"/>
        <v>35</v>
      </c>
      <c r="L27" s="34">
        <f t="shared" si="9"/>
        <v>0</v>
      </c>
      <c r="M27" s="39">
        <f t="shared" si="4"/>
        <v>35</v>
      </c>
    </row>
    <row r="28" spans="1:13" x14ac:dyDescent="0.25">
      <c r="A28" s="27" t="s">
        <v>147</v>
      </c>
      <c r="B28" s="34">
        <f t="shared" ref="B28:L28" si="10">B10*B$19</f>
        <v>0</v>
      </c>
      <c r="C28" s="34">
        <f t="shared" si="10"/>
        <v>0</v>
      </c>
      <c r="D28" s="34">
        <f t="shared" si="10"/>
        <v>0</v>
      </c>
      <c r="E28" s="34">
        <f t="shared" si="10"/>
        <v>0</v>
      </c>
      <c r="F28" s="34">
        <f t="shared" si="10"/>
        <v>0</v>
      </c>
      <c r="G28" s="34">
        <f t="shared" si="10"/>
        <v>0</v>
      </c>
      <c r="H28" s="34">
        <f t="shared" si="10"/>
        <v>0</v>
      </c>
      <c r="I28" s="34">
        <f t="shared" si="10"/>
        <v>0</v>
      </c>
      <c r="J28" s="34">
        <f t="shared" si="10"/>
        <v>0</v>
      </c>
      <c r="K28" s="34">
        <f t="shared" si="10"/>
        <v>35</v>
      </c>
      <c r="L28" s="34">
        <f t="shared" si="10"/>
        <v>0</v>
      </c>
      <c r="M28" s="39">
        <f t="shared" si="4"/>
        <v>35</v>
      </c>
    </row>
    <row r="29" spans="1:13" x14ac:dyDescent="0.25">
      <c r="A29" s="27" t="s">
        <v>162</v>
      </c>
      <c r="B29" s="34">
        <f t="shared" ref="B29:L29" si="11">B11*B$19</f>
        <v>0</v>
      </c>
      <c r="C29" s="34">
        <f t="shared" si="11"/>
        <v>0</v>
      </c>
      <c r="D29" s="34">
        <f t="shared" si="11"/>
        <v>0</v>
      </c>
      <c r="E29" s="34">
        <f t="shared" si="11"/>
        <v>0</v>
      </c>
      <c r="F29" s="34">
        <f t="shared" si="11"/>
        <v>0</v>
      </c>
      <c r="G29" s="34">
        <f t="shared" si="11"/>
        <v>0</v>
      </c>
      <c r="H29" s="34">
        <f t="shared" si="11"/>
        <v>0</v>
      </c>
      <c r="I29" s="34">
        <f t="shared" si="11"/>
        <v>0</v>
      </c>
      <c r="J29" s="34">
        <f t="shared" si="11"/>
        <v>0</v>
      </c>
      <c r="K29" s="34">
        <f t="shared" si="11"/>
        <v>0</v>
      </c>
      <c r="L29" s="34">
        <f t="shared" si="11"/>
        <v>0</v>
      </c>
      <c r="M29" s="39">
        <f t="shared" si="4"/>
        <v>0</v>
      </c>
    </row>
    <row r="30" spans="1:13" x14ac:dyDescent="0.25">
      <c r="A30" s="27" t="s">
        <v>168</v>
      </c>
      <c r="B30" s="34">
        <f t="shared" ref="B30:L30" si="12">B12*B$19</f>
        <v>0</v>
      </c>
      <c r="C30" s="34">
        <f t="shared" si="12"/>
        <v>0</v>
      </c>
      <c r="D30" s="34">
        <f t="shared" si="12"/>
        <v>0</v>
      </c>
      <c r="E30" s="34">
        <f t="shared" si="12"/>
        <v>0</v>
      </c>
      <c r="F30" s="34">
        <f t="shared" si="12"/>
        <v>0</v>
      </c>
      <c r="G30" s="34">
        <f t="shared" si="12"/>
        <v>0</v>
      </c>
      <c r="H30" s="34">
        <f t="shared" si="12"/>
        <v>0</v>
      </c>
      <c r="I30" s="34">
        <f t="shared" si="12"/>
        <v>0</v>
      </c>
      <c r="J30" s="34">
        <f t="shared" si="12"/>
        <v>0</v>
      </c>
      <c r="K30" s="34">
        <f t="shared" si="12"/>
        <v>0</v>
      </c>
      <c r="L30" s="34">
        <f t="shared" si="12"/>
        <v>0</v>
      </c>
      <c r="M30" s="39">
        <f t="shared" si="4"/>
        <v>0</v>
      </c>
    </row>
    <row r="31" spans="1:13" x14ac:dyDescent="0.25">
      <c r="A31" s="27" t="s">
        <v>38</v>
      </c>
      <c r="B31" s="34">
        <f t="shared" ref="B31:L31" si="13">B13*B$19</f>
        <v>0</v>
      </c>
      <c r="C31" s="34">
        <f t="shared" si="13"/>
        <v>0</v>
      </c>
      <c r="D31" s="34">
        <f t="shared" si="13"/>
        <v>0</v>
      </c>
      <c r="E31" s="34">
        <f t="shared" si="13"/>
        <v>0</v>
      </c>
      <c r="F31" s="34">
        <f t="shared" si="13"/>
        <v>0</v>
      </c>
      <c r="G31" s="34">
        <f t="shared" si="13"/>
        <v>0</v>
      </c>
      <c r="H31" s="34">
        <f t="shared" si="13"/>
        <v>0</v>
      </c>
      <c r="I31" s="34">
        <f t="shared" si="13"/>
        <v>0</v>
      </c>
      <c r="J31" s="34">
        <f t="shared" si="13"/>
        <v>0</v>
      </c>
      <c r="K31" s="34">
        <f t="shared" si="13"/>
        <v>0</v>
      </c>
      <c r="L31" s="34">
        <f t="shared" si="13"/>
        <v>0</v>
      </c>
      <c r="M31" s="39">
        <f t="shared" si="4"/>
        <v>0</v>
      </c>
    </row>
    <row r="32" spans="1:13" x14ac:dyDescent="0.25">
      <c r="A32" s="27" t="s">
        <v>41</v>
      </c>
      <c r="B32" s="34">
        <f t="shared" ref="B32:L32" si="14">B14*B$19</f>
        <v>16</v>
      </c>
      <c r="C32" s="34">
        <f t="shared" si="14"/>
        <v>0</v>
      </c>
      <c r="D32" s="34">
        <f t="shared" si="14"/>
        <v>0</v>
      </c>
      <c r="E32" s="34">
        <f t="shared" si="14"/>
        <v>0</v>
      </c>
      <c r="F32" s="34">
        <f t="shared" si="14"/>
        <v>0</v>
      </c>
      <c r="G32" s="34">
        <f t="shared" si="14"/>
        <v>0</v>
      </c>
      <c r="H32" s="34">
        <f t="shared" si="14"/>
        <v>0</v>
      </c>
      <c r="I32" s="34">
        <f t="shared" si="14"/>
        <v>0</v>
      </c>
      <c r="J32" s="34">
        <f t="shared" si="14"/>
        <v>0</v>
      </c>
      <c r="K32" s="34">
        <f t="shared" si="14"/>
        <v>0</v>
      </c>
      <c r="L32" s="34">
        <f t="shared" si="14"/>
        <v>0</v>
      </c>
      <c r="M32" s="39">
        <f t="shared" si="4"/>
        <v>16</v>
      </c>
    </row>
    <row r="33" spans="1:13" x14ac:dyDescent="0.25">
      <c r="A33" s="27" t="s">
        <v>33</v>
      </c>
      <c r="B33" s="34">
        <f t="shared" ref="B33:L33" si="15">B15*B$19</f>
        <v>0</v>
      </c>
      <c r="C33" s="34">
        <f t="shared" si="15"/>
        <v>16</v>
      </c>
      <c r="D33" s="34">
        <f t="shared" si="15"/>
        <v>0</v>
      </c>
      <c r="E33" s="34">
        <f t="shared" si="15"/>
        <v>9</v>
      </c>
      <c r="F33" s="34">
        <f t="shared" si="15"/>
        <v>0</v>
      </c>
      <c r="G33" s="34">
        <f t="shared" si="15"/>
        <v>0</v>
      </c>
      <c r="H33" s="34">
        <f t="shared" si="15"/>
        <v>26</v>
      </c>
      <c r="I33" s="34">
        <f t="shared" si="15"/>
        <v>25</v>
      </c>
      <c r="J33" s="34">
        <f t="shared" si="15"/>
        <v>50</v>
      </c>
      <c r="K33" s="34">
        <f t="shared" si="15"/>
        <v>0</v>
      </c>
      <c r="L33" s="34">
        <f t="shared" si="15"/>
        <v>0</v>
      </c>
      <c r="M33" s="39">
        <f t="shared" si="4"/>
        <v>126</v>
      </c>
    </row>
    <row r="34" spans="1:13" x14ac:dyDescent="0.25">
      <c r="A34" s="35" t="s">
        <v>183</v>
      </c>
      <c r="B34" s="35">
        <f t="shared" ref="B34:L34" si="16">SUBTOTAL(9,B21:B33)</f>
        <v>88</v>
      </c>
      <c r="C34" s="35">
        <f t="shared" si="16"/>
        <v>48</v>
      </c>
      <c r="D34" s="35">
        <f t="shared" si="16"/>
        <v>0</v>
      </c>
      <c r="E34" s="35">
        <f t="shared" si="16"/>
        <v>9</v>
      </c>
      <c r="F34" s="35">
        <f t="shared" si="16"/>
        <v>0</v>
      </c>
      <c r="G34" s="35">
        <f t="shared" si="16"/>
        <v>0</v>
      </c>
      <c r="H34" s="35">
        <f t="shared" si="16"/>
        <v>39</v>
      </c>
      <c r="I34" s="35">
        <f t="shared" si="16"/>
        <v>50</v>
      </c>
      <c r="J34" s="35">
        <f t="shared" si="16"/>
        <v>125</v>
      </c>
      <c r="K34" s="35">
        <f t="shared" si="16"/>
        <v>105</v>
      </c>
      <c r="L34" s="35">
        <f t="shared" si="16"/>
        <v>0</v>
      </c>
      <c r="M34" s="35">
        <f>SUM(9,M21:M33)</f>
        <v>473</v>
      </c>
    </row>
  </sheetData>
  <conditionalFormatting sqref="M21:M33">
    <cfRule type="colorScale" priority="2">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58"/>
  <sheetViews>
    <sheetView topLeftCell="A22" workbookViewId="0">
      <selection activeCell="D59" sqref="D59"/>
    </sheetView>
  </sheetViews>
  <sheetFormatPr defaultRowHeight="15" x14ac:dyDescent="0.25"/>
  <cols>
    <col min="1" max="1" width="25.42578125" customWidth="1"/>
    <col min="5" max="5" width="13.85546875" customWidth="1"/>
    <col min="6" max="6" width="22.42578125" customWidth="1"/>
    <col min="9" max="9" width="23.42578125" customWidth="1"/>
    <col min="11" max="11" width="11" customWidth="1"/>
    <col min="13" max="13" width="35.7109375" customWidth="1"/>
    <col min="14" max="14" width="45.42578125" customWidth="1"/>
  </cols>
  <sheetData>
    <row r="1" spans="1:14" ht="15.75" thickBot="1" x14ac:dyDescent="0.3">
      <c r="A1" t="s">
        <v>170</v>
      </c>
      <c r="E1" t="s">
        <v>126</v>
      </c>
      <c r="F1" t="s">
        <v>127</v>
      </c>
      <c r="I1" t="s">
        <v>130</v>
      </c>
      <c r="K1" t="s">
        <v>158</v>
      </c>
      <c r="M1" t="s">
        <v>381</v>
      </c>
      <c r="N1" t="s">
        <v>382</v>
      </c>
    </row>
    <row r="2" spans="1:14" ht="15.75" thickBot="1" x14ac:dyDescent="0.3">
      <c r="A2" s="2" t="s">
        <v>19</v>
      </c>
      <c r="E2" t="s">
        <v>18</v>
      </c>
      <c r="F2" t="s">
        <v>131</v>
      </c>
      <c r="I2" t="s">
        <v>15</v>
      </c>
      <c r="K2" t="s">
        <v>15</v>
      </c>
      <c r="M2" s="168" t="s">
        <v>341</v>
      </c>
      <c r="N2" s="169"/>
    </row>
    <row r="3" spans="1:14" ht="15.75" thickBot="1" x14ac:dyDescent="0.3">
      <c r="A3" s="2" t="s">
        <v>52</v>
      </c>
      <c r="E3" t="s">
        <v>32</v>
      </c>
      <c r="F3" t="s">
        <v>132</v>
      </c>
      <c r="I3" t="s">
        <v>24</v>
      </c>
      <c r="K3" t="s">
        <v>24</v>
      </c>
      <c r="M3" s="170" t="s">
        <v>342</v>
      </c>
      <c r="N3" s="171"/>
    </row>
    <row r="4" spans="1:14" ht="15.75" thickBot="1" x14ac:dyDescent="0.3">
      <c r="A4" s="2" t="s">
        <v>13</v>
      </c>
      <c r="E4" t="s">
        <v>31</v>
      </c>
      <c r="F4" t="s">
        <v>133</v>
      </c>
      <c r="M4" s="168" t="s">
        <v>343</v>
      </c>
      <c r="N4" s="169"/>
    </row>
    <row r="5" spans="1:14" ht="15.75" thickBot="1" x14ac:dyDescent="0.3">
      <c r="A5" s="2" t="s">
        <v>53</v>
      </c>
      <c r="E5" t="s">
        <v>37</v>
      </c>
      <c r="F5" t="s">
        <v>134</v>
      </c>
      <c r="M5" s="170" t="s">
        <v>344</v>
      </c>
      <c r="N5" s="171"/>
    </row>
    <row r="6" spans="1:14" ht="15.75" thickBot="1" x14ac:dyDescent="0.3">
      <c r="A6" s="2" t="s">
        <v>54</v>
      </c>
      <c r="E6" t="s">
        <v>135</v>
      </c>
      <c r="F6" t="s">
        <v>136</v>
      </c>
      <c r="I6" t="s">
        <v>186</v>
      </c>
      <c r="M6" s="168" t="s">
        <v>345</v>
      </c>
      <c r="N6" s="169"/>
    </row>
    <row r="7" spans="1:14" ht="15.75" thickBot="1" x14ac:dyDescent="0.3">
      <c r="A7" s="2" t="s">
        <v>55</v>
      </c>
      <c r="E7" t="s">
        <v>22</v>
      </c>
      <c r="F7" t="s">
        <v>137</v>
      </c>
      <c r="I7" s="47" t="s">
        <v>188</v>
      </c>
      <c r="J7" s="47" t="s">
        <v>192</v>
      </c>
      <c r="M7" s="170" t="s">
        <v>346</v>
      </c>
      <c r="N7" s="171"/>
    </row>
    <row r="8" spans="1:14" ht="15.75" thickBot="1" x14ac:dyDescent="0.3">
      <c r="A8" s="2" t="s">
        <v>56</v>
      </c>
      <c r="E8" t="s">
        <v>138</v>
      </c>
      <c r="F8" t="s">
        <v>139</v>
      </c>
      <c r="I8" s="44" t="s">
        <v>189</v>
      </c>
      <c r="J8" s="44" t="s">
        <v>193</v>
      </c>
      <c r="M8" s="168" t="s">
        <v>347</v>
      </c>
      <c r="N8" s="169"/>
    </row>
    <row r="9" spans="1:14" ht="15.75" thickBot="1" x14ac:dyDescent="0.3">
      <c r="A9" s="2" t="s">
        <v>36</v>
      </c>
      <c r="E9" t="s">
        <v>26</v>
      </c>
      <c r="F9" t="s">
        <v>140</v>
      </c>
      <c r="I9" s="45" t="s">
        <v>190</v>
      </c>
      <c r="J9" s="45" t="s">
        <v>194</v>
      </c>
      <c r="M9" s="170" t="s">
        <v>348</v>
      </c>
      <c r="N9" s="171"/>
    </row>
    <row r="10" spans="1:14" ht="15.75" thickBot="1" x14ac:dyDescent="0.3">
      <c r="A10" s="2" t="s">
        <v>57</v>
      </c>
      <c r="E10" t="s">
        <v>35</v>
      </c>
      <c r="F10" t="s">
        <v>141</v>
      </c>
      <c r="I10" s="46" t="s">
        <v>191</v>
      </c>
      <c r="J10" s="46" t="s">
        <v>195</v>
      </c>
      <c r="M10" s="168" t="s">
        <v>349</v>
      </c>
      <c r="N10" s="169"/>
    </row>
    <row r="11" spans="1:14" ht="15.75" thickBot="1" x14ac:dyDescent="0.3">
      <c r="A11" s="2" t="s">
        <v>58</v>
      </c>
      <c r="E11" t="s">
        <v>25</v>
      </c>
      <c r="F11" t="s">
        <v>142</v>
      </c>
      <c r="M11" s="170" t="s">
        <v>350</v>
      </c>
      <c r="N11" s="171"/>
    </row>
    <row r="12" spans="1:14" ht="15.75" thickBot="1" x14ac:dyDescent="0.3">
      <c r="A12" s="2" t="s">
        <v>48</v>
      </c>
      <c r="E12" t="s">
        <v>39</v>
      </c>
      <c r="F12" t="s">
        <v>143</v>
      </c>
      <c r="M12" s="168" t="s">
        <v>351</v>
      </c>
      <c r="N12" s="169"/>
    </row>
    <row r="13" spans="1:14" ht="21.75" thickBot="1" x14ac:dyDescent="0.3">
      <c r="A13" s="2" t="s">
        <v>51</v>
      </c>
      <c r="E13" t="s">
        <v>144</v>
      </c>
      <c r="F13" t="s">
        <v>145</v>
      </c>
      <c r="I13" t="s">
        <v>187</v>
      </c>
      <c r="M13" s="170" t="s">
        <v>352</v>
      </c>
      <c r="N13" s="170" t="s">
        <v>353</v>
      </c>
    </row>
    <row r="14" spans="1:14" ht="15.75" thickBot="1" x14ac:dyDescent="0.3">
      <c r="A14" s="2" t="s">
        <v>159</v>
      </c>
      <c r="E14" t="s">
        <v>59</v>
      </c>
      <c r="F14" t="s">
        <v>60</v>
      </c>
      <c r="I14" t="s">
        <v>196</v>
      </c>
      <c r="M14" s="168" t="s">
        <v>354</v>
      </c>
      <c r="N14" s="169"/>
    </row>
    <row r="15" spans="1:14" ht="15.75" thickBot="1" x14ac:dyDescent="0.3">
      <c r="A15" s="2" t="s">
        <v>49</v>
      </c>
      <c r="E15" t="s">
        <v>61</v>
      </c>
      <c r="F15" t="s">
        <v>62</v>
      </c>
      <c r="I15" t="s">
        <v>197</v>
      </c>
      <c r="M15" s="170" t="s">
        <v>317</v>
      </c>
      <c r="N15" s="171"/>
    </row>
    <row r="16" spans="1:14" ht="15.75" thickBot="1" x14ac:dyDescent="0.3">
      <c r="A16" s="2" t="s">
        <v>172</v>
      </c>
      <c r="E16" t="s">
        <v>63</v>
      </c>
      <c r="F16" t="s">
        <v>64</v>
      </c>
      <c r="I16" t="s">
        <v>198</v>
      </c>
      <c r="M16" s="168" t="s">
        <v>355</v>
      </c>
      <c r="N16" s="169"/>
    </row>
    <row r="17" spans="1:14" ht="42.75" thickBot="1" x14ac:dyDescent="0.3">
      <c r="A17" s="2" t="s">
        <v>173</v>
      </c>
      <c r="E17" t="s">
        <v>65</v>
      </c>
      <c r="F17" t="s">
        <v>66</v>
      </c>
      <c r="I17" t="s">
        <v>206</v>
      </c>
      <c r="M17" s="170" t="s">
        <v>356</v>
      </c>
      <c r="N17" s="170" t="s">
        <v>357</v>
      </c>
    </row>
    <row r="18" spans="1:14" ht="42.75" thickBot="1" x14ac:dyDescent="0.3">
      <c r="A18" s="2"/>
      <c r="E18" t="s">
        <v>47</v>
      </c>
      <c r="F18" t="s">
        <v>67</v>
      </c>
      <c r="I18" t="s">
        <v>310</v>
      </c>
      <c r="M18" s="168" t="s">
        <v>358</v>
      </c>
      <c r="N18" s="168" t="s">
        <v>359</v>
      </c>
    </row>
    <row r="19" spans="1:14" ht="42.75" thickBot="1" x14ac:dyDescent="0.3">
      <c r="E19" t="s">
        <v>68</v>
      </c>
      <c r="F19" t="s">
        <v>69</v>
      </c>
      <c r="I19" t="s">
        <v>407</v>
      </c>
      <c r="M19" s="170" t="s">
        <v>360</v>
      </c>
      <c r="N19" s="170" t="s">
        <v>359</v>
      </c>
    </row>
    <row r="20" spans="1:14" ht="21.75" thickBot="1" x14ac:dyDescent="0.3">
      <c r="E20" t="s">
        <v>43</v>
      </c>
      <c r="F20" t="s">
        <v>70</v>
      </c>
      <c r="I20" t="s">
        <v>205</v>
      </c>
      <c r="M20" s="168" t="s">
        <v>361</v>
      </c>
      <c r="N20" s="168" t="s">
        <v>362</v>
      </c>
    </row>
    <row r="21" spans="1:14" ht="21.75" thickBot="1" x14ac:dyDescent="0.3">
      <c r="A21" t="s">
        <v>150</v>
      </c>
      <c r="E21" t="s">
        <v>71</v>
      </c>
      <c r="F21" t="s">
        <v>72</v>
      </c>
      <c r="I21" t="s">
        <v>409</v>
      </c>
      <c r="M21" s="170" t="s">
        <v>363</v>
      </c>
      <c r="N21" s="170" t="s">
        <v>318</v>
      </c>
    </row>
    <row r="22" spans="1:14" ht="21.75" thickBot="1" x14ac:dyDescent="0.3">
      <c r="A22" t="s">
        <v>151</v>
      </c>
      <c r="E22" t="s">
        <v>73</v>
      </c>
      <c r="F22" t="s">
        <v>74</v>
      </c>
      <c r="I22" t="s">
        <v>408</v>
      </c>
      <c r="M22" s="168" t="s">
        <v>364</v>
      </c>
      <c r="N22" s="169"/>
    </row>
    <row r="23" spans="1:14" ht="15.75" thickBot="1" x14ac:dyDescent="0.3">
      <c r="E23" t="s">
        <v>75</v>
      </c>
      <c r="F23" t="s">
        <v>76</v>
      </c>
      <c r="M23" s="170" t="s">
        <v>365</v>
      </c>
      <c r="N23" s="171"/>
    </row>
    <row r="24" spans="1:14" ht="15.75" thickBot="1" x14ac:dyDescent="0.3">
      <c r="A24" t="s">
        <v>180</v>
      </c>
      <c r="E24" t="s">
        <v>77</v>
      </c>
      <c r="F24" t="s">
        <v>78</v>
      </c>
      <c r="M24" s="168" t="s">
        <v>366</v>
      </c>
      <c r="N24" s="169"/>
    </row>
    <row r="25" spans="1:14" ht="15.75" thickBot="1" x14ac:dyDescent="0.3">
      <c r="A25" t="s">
        <v>200</v>
      </c>
      <c r="E25" t="s">
        <v>40</v>
      </c>
      <c r="F25" t="s">
        <v>79</v>
      </c>
      <c r="I25" t="s">
        <v>227</v>
      </c>
      <c r="M25" s="170" t="s">
        <v>367</v>
      </c>
      <c r="N25" s="171"/>
    </row>
    <row r="26" spans="1:14" ht="15.75" thickBot="1" x14ac:dyDescent="0.3">
      <c r="A26" t="s">
        <v>199</v>
      </c>
      <c r="E26" t="s">
        <v>29</v>
      </c>
      <c r="F26" t="s">
        <v>80</v>
      </c>
      <c r="I26" s="62" t="s">
        <v>240</v>
      </c>
      <c r="M26" s="168" t="s">
        <v>368</v>
      </c>
      <c r="N26" s="169"/>
    </row>
    <row r="27" spans="1:14" ht="32.25" thickBot="1" x14ac:dyDescent="0.3">
      <c r="A27" t="s">
        <v>410</v>
      </c>
      <c r="E27" t="s">
        <v>42</v>
      </c>
      <c r="F27" t="s">
        <v>81</v>
      </c>
      <c r="I27" s="62" t="s">
        <v>241</v>
      </c>
      <c r="M27" s="170" t="s">
        <v>369</v>
      </c>
      <c r="N27" s="170" t="s">
        <v>319</v>
      </c>
    </row>
    <row r="28" spans="1:14" ht="15.75" thickBot="1" x14ac:dyDescent="0.3">
      <c r="A28" s="51" t="s">
        <v>201</v>
      </c>
      <c r="E28" t="s">
        <v>82</v>
      </c>
      <c r="F28" t="s">
        <v>83</v>
      </c>
      <c r="I28" s="62" t="s">
        <v>242</v>
      </c>
      <c r="M28" s="168" t="s">
        <v>370</v>
      </c>
      <c r="N28" s="168" t="s">
        <v>371</v>
      </c>
    </row>
    <row r="29" spans="1:14" ht="15.75" thickBot="1" x14ac:dyDescent="0.3">
      <c r="A29" s="52" t="s">
        <v>202</v>
      </c>
      <c r="E29" t="s">
        <v>84</v>
      </c>
      <c r="F29" t="s">
        <v>85</v>
      </c>
      <c r="I29" s="62" t="s">
        <v>214</v>
      </c>
      <c r="M29" s="170" t="s">
        <v>372</v>
      </c>
      <c r="N29" s="171"/>
    </row>
    <row r="30" spans="1:14" ht="15.75" thickBot="1" x14ac:dyDescent="0.3">
      <c r="A30" t="s">
        <v>46</v>
      </c>
      <c r="E30" t="s">
        <v>86</v>
      </c>
      <c r="F30" t="s">
        <v>87</v>
      </c>
      <c r="I30" s="62" t="s">
        <v>316</v>
      </c>
      <c r="M30" s="168" t="s">
        <v>339</v>
      </c>
      <c r="N30" s="169"/>
    </row>
    <row r="31" spans="1:14" ht="15.75" thickBot="1" x14ac:dyDescent="0.3">
      <c r="A31" t="s">
        <v>203</v>
      </c>
      <c r="E31" t="s">
        <v>88</v>
      </c>
      <c r="F31" t="s">
        <v>89</v>
      </c>
      <c r="I31" s="62" t="s">
        <v>215</v>
      </c>
      <c r="M31" s="170" t="s">
        <v>373</v>
      </c>
      <c r="N31" s="171"/>
    </row>
    <row r="32" spans="1:14" ht="15.75" thickBot="1" x14ac:dyDescent="0.3">
      <c r="A32" t="s">
        <v>116</v>
      </c>
      <c r="E32" t="s">
        <v>90</v>
      </c>
      <c r="F32" t="s">
        <v>91</v>
      </c>
      <c r="I32" s="62" t="s">
        <v>216</v>
      </c>
      <c r="M32" s="168" t="s">
        <v>374</v>
      </c>
      <c r="N32" s="169"/>
    </row>
    <row r="33" spans="1:14" ht="15.75" thickBot="1" x14ac:dyDescent="0.3">
      <c r="A33" t="s">
        <v>286</v>
      </c>
      <c r="E33" t="s">
        <v>92</v>
      </c>
      <c r="F33" t="s">
        <v>93</v>
      </c>
      <c r="I33" s="62" t="s">
        <v>217</v>
      </c>
      <c r="M33" s="170" t="s">
        <v>375</v>
      </c>
      <c r="N33" s="171"/>
    </row>
    <row r="34" spans="1:14" ht="15.75" thickBot="1" x14ac:dyDescent="0.3">
      <c r="E34" t="s">
        <v>94</v>
      </c>
      <c r="F34" t="s">
        <v>95</v>
      </c>
      <c r="I34" s="62" t="s">
        <v>218</v>
      </c>
      <c r="M34" s="168" t="s">
        <v>376</v>
      </c>
      <c r="N34" s="169"/>
    </row>
    <row r="35" spans="1:14" ht="15.75" thickBot="1" x14ac:dyDescent="0.3">
      <c r="E35" t="s">
        <v>96</v>
      </c>
      <c r="F35" t="s">
        <v>97</v>
      </c>
      <c r="I35" s="62" t="s">
        <v>219</v>
      </c>
      <c r="M35" s="170" t="s">
        <v>320</v>
      </c>
      <c r="N35" s="171"/>
    </row>
    <row r="36" spans="1:14" ht="15.75" thickBot="1" x14ac:dyDescent="0.3">
      <c r="E36" t="s">
        <v>98</v>
      </c>
      <c r="F36" t="s">
        <v>99</v>
      </c>
      <c r="I36" s="62" t="s">
        <v>220</v>
      </c>
      <c r="M36" s="168" t="s">
        <v>377</v>
      </c>
      <c r="N36" s="169"/>
    </row>
    <row r="37" spans="1:14" ht="15.75" thickBot="1" x14ac:dyDescent="0.3">
      <c r="A37" t="s">
        <v>169</v>
      </c>
      <c r="E37" s="3" t="s">
        <v>129</v>
      </c>
      <c r="F37" t="s">
        <v>153</v>
      </c>
      <c r="I37" s="62" t="s">
        <v>221</v>
      </c>
      <c r="M37" s="170" t="s">
        <v>256</v>
      </c>
      <c r="N37" s="171"/>
    </row>
    <row r="38" spans="1:14" ht="15.75" thickBot="1" x14ac:dyDescent="0.3">
      <c r="A38" s="306" t="s">
        <v>427</v>
      </c>
      <c r="E38" t="s">
        <v>100</v>
      </c>
      <c r="F38" t="s">
        <v>101</v>
      </c>
      <c r="I38" s="62" t="s">
        <v>222</v>
      </c>
      <c r="M38" s="168" t="s">
        <v>378</v>
      </c>
      <c r="N38" s="169"/>
    </row>
    <row r="39" spans="1:14" ht="15.75" thickBot="1" x14ac:dyDescent="0.3">
      <c r="A39" s="306" t="s">
        <v>424</v>
      </c>
      <c r="E39" t="s">
        <v>45</v>
      </c>
      <c r="F39" t="s">
        <v>102</v>
      </c>
      <c r="I39" s="62" t="s">
        <v>223</v>
      </c>
      <c r="M39" s="170" t="s">
        <v>379</v>
      </c>
      <c r="N39" s="171"/>
    </row>
    <row r="40" spans="1:14" ht="15.75" thickBot="1" x14ac:dyDescent="0.3">
      <c r="A40" s="306" t="s">
        <v>873</v>
      </c>
      <c r="E40" t="s">
        <v>44</v>
      </c>
      <c r="F40" t="s">
        <v>103</v>
      </c>
      <c r="I40" s="62" t="s">
        <v>224</v>
      </c>
      <c r="M40" s="172" t="s">
        <v>380</v>
      </c>
      <c r="N40" s="173"/>
    </row>
    <row r="41" spans="1:14" ht="15.75" thickBot="1" x14ac:dyDescent="0.3">
      <c r="A41" s="306" t="s">
        <v>438</v>
      </c>
      <c r="E41" t="s">
        <v>50</v>
      </c>
      <c r="F41" t="s">
        <v>104</v>
      </c>
      <c r="I41" s="62" t="s">
        <v>225</v>
      </c>
      <c r="M41" s="170" t="s">
        <v>383</v>
      </c>
      <c r="N41" s="171"/>
    </row>
    <row r="42" spans="1:14" ht="15.75" thickBot="1" x14ac:dyDescent="0.3">
      <c r="A42" s="306" t="s">
        <v>422</v>
      </c>
      <c r="E42" t="s">
        <v>105</v>
      </c>
      <c r="F42" t="s">
        <v>106</v>
      </c>
      <c r="I42" s="63" t="s">
        <v>226</v>
      </c>
      <c r="M42" s="172" t="s">
        <v>384</v>
      </c>
      <c r="N42" s="173"/>
    </row>
    <row r="43" spans="1:14" ht="15.75" thickBot="1" x14ac:dyDescent="0.3">
      <c r="A43" s="306" t="s">
        <v>720</v>
      </c>
      <c r="E43" t="s">
        <v>107</v>
      </c>
      <c r="F43" t="s">
        <v>108</v>
      </c>
      <c r="M43" s="174" t="s">
        <v>387</v>
      </c>
    </row>
    <row r="44" spans="1:14" ht="15.75" thickBot="1" x14ac:dyDescent="0.3">
      <c r="A44" s="306" t="s">
        <v>437</v>
      </c>
      <c r="E44" t="s">
        <v>109</v>
      </c>
      <c r="F44" t="s">
        <v>110</v>
      </c>
      <c r="M44" s="172" t="s">
        <v>386</v>
      </c>
    </row>
    <row r="45" spans="1:14" ht="15.75" thickBot="1" x14ac:dyDescent="0.3">
      <c r="A45" s="305" t="s">
        <v>434</v>
      </c>
      <c r="E45" t="s">
        <v>28</v>
      </c>
      <c r="F45" t="s">
        <v>111</v>
      </c>
      <c r="I45" t="s">
        <v>333</v>
      </c>
      <c r="M45" s="174" t="s">
        <v>385</v>
      </c>
    </row>
    <row r="46" spans="1:14" ht="15.75" thickBot="1" x14ac:dyDescent="0.3">
      <c r="A46" s="307" t="s">
        <v>426</v>
      </c>
      <c r="E46" t="s">
        <v>21</v>
      </c>
      <c r="F46" t="s">
        <v>112</v>
      </c>
      <c r="I46" s="156" t="s">
        <v>329</v>
      </c>
      <c r="M46" s="174" t="s">
        <v>388</v>
      </c>
    </row>
    <row r="47" spans="1:14" ht="15.75" thickBot="1" x14ac:dyDescent="0.3">
      <c r="A47" s="306" t="s">
        <v>425</v>
      </c>
      <c r="E47" t="s">
        <v>16</v>
      </c>
      <c r="F47" t="s">
        <v>113</v>
      </c>
      <c r="I47" s="156" t="s">
        <v>330</v>
      </c>
      <c r="M47" s="175" t="s">
        <v>389</v>
      </c>
    </row>
    <row r="48" spans="1:14" ht="15.75" thickBot="1" x14ac:dyDescent="0.3">
      <c r="A48" s="306" t="s">
        <v>423</v>
      </c>
      <c r="E48" t="s">
        <v>34</v>
      </c>
      <c r="F48" t="s">
        <v>114</v>
      </c>
      <c r="I48" s="156" t="s">
        <v>331</v>
      </c>
      <c r="M48" s="175" t="s">
        <v>390</v>
      </c>
    </row>
    <row r="49" spans="1:13" ht="21.75" thickBot="1" x14ac:dyDescent="0.3">
      <c r="A49" s="306" t="s">
        <v>729</v>
      </c>
      <c r="E49" t="s">
        <v>17</v>
      </c>
      <c r="F49" t="s">
        <v>115</v>
      </c>
      <c r="I49" s="157" t="s">
        <v>332</v>
      </c>
      <c r="M49" s="175" t="s">
        <v>391</v>
      </c>
    </row>
    <row r="50" spans="1:13" ht="15.75" thickBot="1" x14ac:dyDescent="0.3">
      <c r="A50" s="304"/>
      <c r="M50" s="175" t="s">
        <v>392</v>
      </c>
    </row>
    <row r="51" spans="1:13" ht="15.75" thickBot="1" x14ac:dyDescent="0.3">
      <c r="A51" s="176"/>
      <c r="M51" s="175" t="s">
        <v>393</v>
      </c>
    </row>
    <row r="52" spans="1:13" ht="15.75" thickBot="1" x14ac:dyDescent="0.3">
      <c r="A52" s="304"/>
      <c r="M52" s="175" t="s">
        <v>394</v>
      </c>
    </row>
    <row r="53" spans="1:13" ht="15.75" thickBot="1" x14ac:dyDescent="0.3">
      <c r="A53" s="176"/>
      <c r="M53" s="175" t="s">
        <v>395</v>
      </c>
    </row>
    <row r="54" spans="1:13" ht="15.75" thickBot="1" x14ac:dyDescent="0.3">
      <c r="A54" s="176"/>
      <c r="M54" s="175" t="s">
        <v>320</v>
      </c>
    </row>
    <row r="55" spans="1:13" ht="15.75" thickBot="1" x14ac:dyDescent="0.3">
      <c r="A55" s="176"/>
      <c r="M55" s="175" t="s">
        <v>396</v>
      </c>
    </row>
    <row r="56" spans="1:13" ht="15.75" thickBot="1" x14ac:dyDescent="0.3">
      <c r="A56" s="176"/>
      <c r="M56" s="175" t="s">
        <v>397</v>
      </c>
    </row>
    <row r="57" spans="1:13" ht="15.75" thickBot="1" x14ac:dyDescent="0.3">
      <c r="M57" s="175" t="s">
        <v>398</v>
      </c>
    </row>
    <row r="58" spans="1:13" ht="15.75" thickBot="1" x14ac:dyDescent="0.3">
      <c r="M58" s="175" t="s">
        <v>399</v>
      </c>
    </row>
  </sheetData>
  <sortState ref="A34:A46">
    <sortCondition ref="A34:A46"/>
  </sortState>
  <conditionalFormatting sqref="A51:A52 A38:A49">
    <cfRule type="uniqueValues" dxfId="13" priority="3"/>
  </conditionalFormatting>
  <conditionalFormatting sqref="A38:A50">
    <cfRule type="containsText" dxfId="12" priority="2" operator="containsText" text="MARIUS-LEON TĂNASIE">
      <formula>NOT(ISERROR(SEARCH("MARIUS-LEON TĂNASIE",A38)))</formula>
    </cfRule>
  </conditionalFormatting>
  <conditionalFormatting sqref="A38:A52">
    <cfRule type="containsText" dxfId="11" priority="1" operator="containsText" text="MARIUS-LEON TĂNASIE">
      <formula>NOT(ISERROR(SEARCH("MARIUS-LEON TĂNASIE",A38)))</formula>
    </cfRule>
  </conditionalFormatting>
  <dataValidations count="1">
    <dataValidation type="list" allowBlank="1" showInputMessage="1" showErrorMessage="1" sqref="I46:I49" xr:uid="{00000000-0002-0000-0800-000000000000}">
      <formula1>"Trim I, Trim II, Trim III, Trim IV"</formula1>
    </dataValidation>
  </dataValidations>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9</vt:i4>
      </vt:variant>
      <vt:variant>
        <vt:lpstr>Zone denumite</vt:lpstr>
      </vt:variant>
      <vt:variant>
        <vt:i4>19</vt:i4>
      </vt:variant>
    </vt:vector>
  </HeadingPairs>
  <TitlesOfParts>
    <vt:vector size="28" baseType="lpstr">
      <vt:lpstr>PAAP_2023</vt:lpstr>
      <vt:lpstr>A1_AD</vt:lpstr>
      <vt:lpstr>A2_Ex_L98</vt:lpstr>
      <vt:lpstr>Proiecte</vt:lpstr>
      <vt:lpstr>Pivot CB</vt:lpstr>
      <vt:lpstr>Pivot CA</vt:lpstr>
      <vt:lpstr>Pivot_Leveling</vt:lpstr>
      <vt:lpstr>Leveling</vt:lpstr>
      <vt:lpstr>Liste</vt:lpstr>
      <vt:lpstr>art_buget</vt:lpstr>
      <vt:lpstr>A1_AD!CPV_principal</vt:lpstr>
      <vt:lpstr>dir_solicitanta</vt:lpstr>
      <vt:lpstr>A1_AD!Imprimare_titluri</vt:lpstr>
      <vt:lpstr>A2_Ex_L98!Imprimare_titluri</vt:lpstr>
      <vt:lpstr>PAAP_2023!Imprimare_titluri</vt:lpstr>
      <vt:lpstr>Proiecte!Imprimare_titluri</vt:lpstr>
      <vt:lpstr>mod_derulare</vt:lpstr>
      <vt:lpstr>necesit_AD</vt:lpstr>
      <vt:lpstr>Proiecte</vt:lpstr>
      <vt:lpstr>responsabil_achiz</vt:lpstr>
      <vt:lpstr>status_achiz</vt:lpstr>
      <vt:lpstr>tip_derulare</vt:lpstr>
      <vt:lpstr>tip_procedura</vt:lpstr>
      <vt:lpstr>A1_AD!VA_fara_TVA</vt:lpstr>
      <vt:lpstr>A1_AD!Zona_de_imprimat</vt:lpstr>
      <vt:lpstr>A2_Ex_L98!Zona_de_imprimat</vt:lpstr>
      <vt:lpstr>PAAP_2023!Zona_de_imprimat</vt:lpstr>
      <vt:lpstr>Proiecte!Zona_de_imprimat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Simion ILIE</dc:creator>
  <cp:lastModifiedBy>MARIUS-LEON TĂNASIE</cp:lastModifiedBy>
  <cp:lastPrinted>2024-12-23T08:21:19Z</cp:lastPrinted>
  <dcterms:created xsi:type="dcterms:W3CDTF">2018-07-17T13:07:47Z</dcterms:created>
  <dcterms:modified xsi:type="dcterms:W3CDTF">2025-07-17T08:20:38Z</dcterms:modified>
</cp:coreProperties>
</file>