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672394\Desktop\Raluca Enache - UEIP 2023\PRIORITIZARE 2024\Pachet Guvern\"/>
    </mc:Choice>
  </mc:AlternateContent>
  <bookViews>
    <workbookView xWindow="0" yWindow="0" windowWidth="16380" windowHeight="8190" tabRatio="500" firstSheet="1" activeTab="1"/>
  </bookViews>
  <sheets>
    <sheet name="anexa fara 100%" sheetId="1" state="hidden" r:id="rId1"/>
    <sheet name="anexa_ordonata_fara_100%" sheetId="2" r:id="rId2"/>
    <sheet name="100%" sheetId="3" state="hidden" r:id="rId3"/>
    <sheet name="anexa 100% MTI" sheetId="4" r:id="rId4"/>
  </sheets>
  <externalReferences>
    <externalReference r:id="rId5"/>
    <externalReference r:id="rId6"/>
    <externalReference r:id="rId7"/>
    <externalReference r:id="rId8"/>
    <externalReference r:id="rId9"/>
  </externalReferences>
  <definedNames>
    <definedName name="__xlfn_COUNTIFS">#N/A</definedName>
    <definedName name="_xlnm._FilterDatabase" localSheetId="2" hidden="1">'100%'!$A$7:$P$61</definedName>
    <definedName name="_xlnm._FilterDatabase" localSheetId="3" hidden="1">'anexa 100% MTI'!$A$7:$AMJ$70</definedName>
    <definedName name="_xlnm._FilterDatabase" localSheetId="0" hidden="1">'anexa fara 100%'!$A$7:$P$171</definedName>
    <definedName name="_xlnm._FilterDatabase" localSheetId="1" hidden="1">'anexa_ordonata_fara_100%'!$A$10:$AMJ$184</definedName>
    <definedName name="_xlnm.Print_Area" localSheetId="2">'100%'!$A$3:$P$61</definedName>
    <definedName name="_xlnm.Print_Area" localSheetId="3">'anexa 100% MTI'!$A$1:$N$71</definedName>
    <definedName name="_xlnm.Print_Area" localSheetId="0">'anexa fara 100%'!$A$1:$P$181</definedName>
    <definedName name="_xlnm.Print_Area" localSheetId="1">'anexa_ordonata_fara_100%'!$A$2:$P$185</definedName>
    <definedName name="_xlnm.Print_Titles" localSheetId="2">'100%'!$7:$9</definedName>
    <definedName name="_xlnm.Print_Titles" localSheetId="3">'anexa 100% MTI'!$6:$7</definedName>
    <definedName name="_xlnm.Print_Titles" localSheetId="0">'anexa fara 100%'!$7:$9</definedName>
    <definedName name="_xlnm.Print_Titles" localSheetId="1">'anexa_ordonata_fara_100%'!$8:$10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184" i="2" l="1"/>
  <c r="K193" i="2" l="1"/>
  <c r="L193" i="2"/>
  <c r="J193" i="2"/>
  <c r="K192" i="2"/>
  <c r="L192" i="2"/>
  <c r="J192" i="2"/>
  <c r="K191" i="2"/>
  <c r="L191" i="2"/>
  <c r="J191" i="2"/>
  <c r="K190" i="2" l="1"/>
  <c r="L190" i="2"/>
  <c r="J190" i="2"/>
  <c r="K189" i="2"/>
  <c r="L189" i="2"/>
  <c r="J189" i="2"/>
  <c r="J184" i="2"/>
  <c r="J188" i="2" s="1"/>
  <c r="J72" i="4"/>
  <c r="K72" i="4"/>
  <c r="I72" i="4"/>
  <c r="C70" i="4"/>
  <c r="J73" i="4"/>
  <c r="K73" i="4"/>
  <c r="I73" i="4"/>
  <c r="J70" i="4"/>
  <c r="K70" i="4"/>
  <c r="I70" i="4"/>
  <c r="L68" i="4" l="1"/>
  <c r="K186" i="2" l="1"/>
  <c r="L186" i="2"/>
  <c r="J186" i="2"/>
  <c r="I166" i="2" l="1"/>
  <c r="M166" i="2"/>
  <c r="L184" i="2" l="1"/>
  <c r="L188" i="2" s="1"/>
  <c r="L69" i="4"/>
  <c r="L67" i="4"/>
  <c r="H67" i="4"/>
  <c r="L66" i="4"/>
  <c r="H66" i="4"/>
  <c r="L65" i="4"/>
  <c r="H65" i="4"/>
  <c r="L64" i="4"/>
  <c r="H64" i="4"/>
  <c r="K63" i="4"/>
  <c r="L63" i="4" s="1"/>
  <c r="H63" i="4"/>
  <c r="L62" i="4"/>
  <c r="H62" i="4"/>
  <c r="L61" i="4"/>
  <c r="H61" i="4"/>
  <c r="J60" i="4"/>
  <c r="L60" i="4" s="1"/>
  <c r="L59" i="4"/>
  <c r="H59" i="4"/>
  <c r="L58" i="4"/>
  <c r="H58" i="4"/>
  <c r="L57" i="4"/>
  <c r="H57" i="4"/>
  <c r="L56" i="4"/>
  <c r="H56" i="4"/>
  <c r="L55" i="4"/>
  <c r="H55" i="4"/>
  <c r="L54" i="4"/>
  <c r="H54" i="4"/>
  <c r="L53" i="4"/>
  <c r="H53" i="4"/>
  <c r="L52" i="4"/>
  <c r="H52" i="4"/>
  <c r="J51" i="4"/>
  <c r="L51" i="4" s="1"/>
  <c r="J50" i="4"/>
  <c r="L49" i="4"/>
  <c r="H49" i="4"/>
  <c r="L48" i="4"/>
  <c r="H48" i="4"/>
  <c r="K47" i="4"/>
  <c r="L47" i="4" s="1"/>
  <c r="H47" i="4"/>
  <c r="L46" i="4"/>
  <c r="H46" i="4"/>
  <c r="K45" i="4"/>
  <c r="L45" i="4" s="1"/>
  <c r="H45" i="4"/>
  <c r="L44" i="4"/>
  <c r="H44" i="4"/>
  <c r="L43" i="4"/>
  <c r="H43" i="4"/>
  <c r="L42" i="4"/>
  <c r="H42" i="4"/>
  <c r="K41" i="4"/>
  <c r="L41" i="4" s="1"/>
  <c r="H41" i="4"/>
  <c r="K40" i="4"/>
  <c r="L40" i="4" s="1"/>
  <c r="H40" i="4"/>
  <c r="K39" i="4"/>
  <c r="L39" i="4" s="1"/>
  <c r="H39" i="4"/>
  <c r="K38" i="4"/>
  <c r="J38" i="4"/>
  <c r="H38" i="4" s="1"/>
  <c r="L37" i="4"/>
  <c r="H37" i="4"/>
  <c r="K36" i="4"/>
  <c r="J36" i="4"/>
  <c r="H36" i="4" s="1"/>
  <c r="L35" i="4"/>
  <c r="H35" i="4"/>
  <c r="K34" i="4"/>
  <c r="J34" i="4"/>
  <c r="H34" i="4" s="1"/>
  <c r="K33" i="4"/>
  <c r="L33" i="4" s="1"/>
  <c r="H33" i="4"/>
  <c r="L32" i="4"/>
  <c r="H32" i="4"/>
  <c r="L31" i="4"/>
  <c r="H31" i="4"/>
  <c r="L30" i="4"/>
  <c r="H30" i="4"/>
  <c r="K29" i="4"/>
  <c r="L29" i="4" s="1"/>
  <c r="H29" i="4"/>
  <c r="L28" i="4"/>
  <c r="H28" i="4"/>
  <c r="K27" i="4"/>
  <c r="H27" i="4"/>
  <c r="L26" i="4"/>
  <c r="H26" i="4"/>
  <c r="J25" i="4"/>
  <c r="L24" i="4"/>
  <c r="H24" i="4"/>
  <c r="I23" i="4"/>
  <c r="L23" i="4" s="1"/>
  <c r="I22" i="4"/>
  <c r="H22" i="4" s="1"/>
  <c r="L21" i="4"/>
  <c r="H21" i="4"/>
  <c r="L20" i="4"/>
  <c r="H20" i="4"/>
  <c r="L19" i="4"/>
  <c r="H19" i="4"/>
  <c r="L18" i="4"/>
  <c r="H18" i="4"/>
  <c r="L17" i="4"/>
  <c r="H17" i="4"/>
  <c r="L16" i="4"/>
  <c r="H16" i="4"/>
  <c r="L15" i="4"/>
  <c r="H15" i="4"/>
  <c r="L14" i="4"/>
  <c r="H14" i="4"/>
  <c r="L13" i="4"/>
  <c r="H13" i="4"/>
  <c r="L12" i="4"/>
  <c r="L11" i="4"/>
  <c r="H11" i="4"/>
  <c r="L10" i="4"/>
  <c r="L9" i="4"/>
  <c r="H9" i="4"/>
  <c r="L8" i="4"/>
  <c r="H8" i="4"/>
  <c r="J321" i="3"/>
  <c r="J320" i="3"/>
  <c r="R114" i="3"/>
  <c r="E114" i="3"/>
  <c r="E112" i="3" s="1"/>
  <c r="S112" i="3"/>
  <c r="S111" i="3"/>
  <c r="R111" i="3"/>
  <c r="S110" i="3"/>
  <c r="R110" i="3"/>
  <c r="T109" i="3"/>
  <c r="S107" i="3"/>
  <c r="S106" i="3"/>
  <c r="R106" i="3"/>
  <c r="R107" i="3" s="1"/>
  <c r="S105" i="3"/>
  <c r="R105" i="3"/>
  <c r="T104" i="3"/>
  <c r="R102" i="3"/>
  <c r="G102" i="3"/>
  <c r="E102" i="3"/>
  <c r="E101" i="3"/>
  <c r="E100" i="3"/>
  <c r="S99" i="3"/>
  <c r="R99" i="3"/>
  <c r="E99" i="3"/>
  <c r="T98" i="3"/>
  <c r="E97" i="3"/>
  <c r="S96" i="3"/>
  <c r="R96" i="3"/>
  <c r="E96" i="3"/>
  <c r="E95" i="3"/>
  <c r="S69" i="3" s="1"/>
  <c r="S94" i="3"/>
  <c r="R94" i="3"/>
  <c r="R103" i="3" s="1"/>
  <c r="E94" i="3"/>
  <c r="T93" i="3"/>
  <c r="R93" i="3"/>
  <c r="W91" i="3"/>
  <c r="U91" i="3"/>
  <c r="W90" i="3"/>
  <c r="V90" i="3"/>
  <c r="U90" i="3"/>
  <c r="S90" i="3"/>
  <c r="R90" i="3"/>
  <c r="W89" i="3"/>
  <c r="V89" i="3"/>
  <c r="V91" i="3" s="1"/>
  <c r="U89" i="3"/>
  <c r="T89" i="3"/>
  <c r="S89" i="3"/>
  <c r="S91" i="3" s="1"/>
  <c r="R89" i="3"/>
  <c r="R91" i="3" s="1"/>
  <c r="F89" i="3"/>
  <c r="E89" i="3"/>
  <c r="Q75" i="3" s="1"/>
  <c r="C89" i="3"/>
  <c r="I88" i="3"/>
  <c r="H88" i="3"/>
  <c r="F88" i="3"/>
  <c r="E88" i="3"/>
  <c r="C88" i="3"/>
  <c r="E87" i="3"/>
  <c r="C87" i="3"/>
  <c r="F87" i="3" s="1"/>
  <c r="F86" i="3"/>
  <c r="E86" i="3"/>
  <c r="C86" i="3"/>
  <c r="E85" i="3"/>
  <c r="C85" i="3"/>
  <c r="F85" i="3" s="1"/>
  <c r="S84" i="3"/>
  <c r="R84" i="3"/>
  <c r="F84" i="3"/>
  <c r="E84" i="3"/>
  <c r="C84" i="3"/>
  <c r="T83" i="3"/>
  <c r="S83" i="3"/>
  <c r="S85" i="3" s="1"/>
  <c r="R83" i="3"/>
  <c r="E83" i="3"/>
  <c r="C83" i="3"/>
  <c r="G82" i="3"/>
  <c r="E82" i="3"/>
  <c r="C82" i="3"/>
  <c r="F82" i="3" s="1"/>
  <c r="G81" i="3"/>
  <c r="E81" i="3"/>
  <c r="W76" i="3"/>
  <c r="S76" i="3"/>
  <c r="Q76" i="3"/>
  <c r="O76" i="3"/>
  <c r="N76" i="3"/>
  <c r="M76" i="3"/>
  <c r="H76" i="3"/>
  <c r="G76" i="3"/>
  <c r="F76" i="3"/>
  <c r="D76" i="3"/>
  <c r="S75" i="3"/>
  <c r="O75" i="3"/>
  <c r="N75" i="3"/>
  <c r="G88" i="3" s="1"/>
  <c r="H75" i="3"/>
  <c r="W75" i="3" s="1"/>
  <c r="G75" i="3"/>
  <c r="F75" i="3"/>
  <c r="S74" i="3"/>
  <c r="Q74" i="3"/>
  <c r="N74" i="3"/>
  <c r="J74" i="3"/>
  <c r="V74" i="3" s="1"/>
  <c r="H74" i="3"/>
  <c r="W74" i="3" s="1"/>
  <c r="G74" i="3"/>
  <c r="F74" i="3"/>
  <c r="D74" i="3"/>
  <c r="I74" i="3" s="1"/>
  <c r="W73" i="3"/>
  <c r="S73" i="3"/>
  <c r="Q73" i="3"/>
  <c r="O73" i="3"/>
  <c r="G99" i="3" s="1"/>
  <c r="N73" i="3"/>
  <c r="J73" i="3"/>
  <c r="V73" i="3" s="1"/>
  <c r="H73" i="3"/>
  <c r="G73" i="3"/>
  <c r="F73" i="3"/>
  <c r="D73" i="3"/>
  <c r="I73" i="3" s="1"/>
  <c r="Q72" i="3"/>
  <c r="N72" i="3"/>
  <c r="J72" i="3"/>
  <c r="V72" i="3" s="1"/>
  <c r="H72" i="3"/>
  <c r="W72" i="3" s="1"/>
  <c r="G72" i="3"/>
  <c r="F72" i="3"/>
  <c r="D72" i="3"/>
  <c r="S71" i="3"/>
  <c r="Q71" i="3"/>
  <c r="O71" i="3"/>
  <c r="N71" i="3"/>
  <c r="J71" i="3"/>
  <c r="V71" i="3" s="1"/>
  <c r="H71" i="3"/>
  <c r="W71" i="3" s="1"/>
  <c r="G71" i="3"/>
  <c r="F71" i="3"/>
  <c r="D71" i="3"/>
  <c r="S70" i="3"/>
  <c r="O70" i="3"/>
  <c r="G96" i="3" s="1"/>
  <c r="N70" i="3"/>
  <c r="J70" i="3"/>
  <c r="V70" i="3" s="1"/>
  <c r="H70" i="3"/>
  <c r="W70" i="3" s="1"/>
  <c r="G70" i="3"/>
  <c r="F70" i="3"/>
  <c r="D70" i="3"/>
  <c r="Q69" i="3"/>
  <c r="O69" i="3"/>
  <c r="G95" i="3" s="1"/>
  <c r="N69" i="3"/>
  <c r="H69" i="3"/>
  <c r="W69" i="3" s="1"/>
  <c r="G69" i="3"/>
  <c r="D69" i="3"/>
  <c r="S68" i="3"/>
  <c r="Q68" i="3"/>
  <c r="N68" i="3"/>
  <c r="J68" i="3"/>
  <c r="G68" i="3"/>
  <c r="G77" i="3" s="1"/>
  <c r="F68" i="3"/>
  <c r="D68" i="3"/>
  <c r="L61" i="3"/>
  <c r="K61" i="3"/>
  <c r="J61" i="3"/>
  <c r="M60" i="3"/>
  <c r="M59" i="3"/>
  <c r="M58" i="3"/>
  <c r="M57" i="3"/>
  <c r="M56" i="3"/>
  <c r="M55" i="3"/>
  <c r="M54" i="3"/>
  <c r="M53" i="3"/>
  <c r="M52" i="3"/>
  <c r="M51" i="3"/>
  <c r="O50" i="3"/>
  <c r="M50" i="3"/>
  <c r="M49" i="3"/>
  <c r="O48" i="3"/>
  <c r="M48" i="3"/>
  <c r="M47" i="3"/>
  <c r="M46" i="3"/>
  <c r="M45" i="3"/>
  <c r="M44" i="3"/>
  <c r="M43" i="3"/>
  <c r="M42" i="3"/>
  <c r="M41" i="3"/>
  <c r="O40" i="3"/>
  <c r="M40" i="3"/>
  <c r="M39" i="3"/>
  <c r="M38" i="3"/>
  <c r="M37" i="3"/>
  <c r="M36" i="3"/>
  <c r="M35" i="3"/>
  <c r="M34" i="3"/>
  <c r="M33" i="3"/>
  <c r="M32" i="3"/>
  <c r="M31" i="3"/>
  <c r="M30" i="3"/>
  <c r="M29" i="3"/>
  <c r="O28" i="3"/>
  <c r="M28" i="3"/>
  <c r="M27" i="3"/>
  <c r="M26" i="3"/>
  <c r="M25" i="3"/>
  <c r="M24" i="3"/>
  <c r="O23" i="3"/>
  <c r="M23" i="3"/>
  <c r="M22" i="3"/>
  <c r="M21" i="3"/>
  <c r="M20" i="3"/>
  <c r="M19" i="3"/>
  <c r="O74" i="3" s="1"/>
  <c r="M18" i="3"/>
  <c r="M17" i="3"/>
  <c r="O16" i="3"/>
  <c r="M16" i="3"/>
  <c r="M15" i="3"/>
  <c r="M14" i="3"/>
  <c r="M13" i="3"/>
  <c r="A13" i="3"/>
  <c r="M12" i="3"/>
  <c r="O11" i="3"/>
  <c r="M11" i="3"/>
  <c r="A11" i="3"/>
  <c r="A12" i="3" s="1"/>
  <c r="M10" i="3"/>
  <c r="J458" i="2"/>
  <c r="E240" i="2"/>
  <c r="E239" i="2"/>
  <c r="E238" i="2"/>
  <c r="E237" i="2"/>
  <c r="E236" i="2"/>
  <c r="E235" i="2"/>
  <c r="E234" i="2"/>
  <c r="E233" i="2"/>
  <c r="E232" i="2"/>
  <c r="E227" i="2"/>
  <c r="C227" i="2"/>
  <c r="E226" i="2"/>
  <c r="C226" i="2"/>
  <c r="E225" i="2"/>
  <c r="C225" i="2"/>
  <c r="E224" i="2"/>
  <c r="C224" i="2"/>
  <c r="E223" i="2"/>
  <c r="C223" i="2"/>
  <c r="E222" i="2"/>
  <c r="C222" i="2"/>
  <c r="E221" i="2"/>
  <c r="C221" i="2"/>
  <c r="E220" i="2"/>
  <c r="C220" i="2"/>
  <c r="E219" i="2"/>
  <c r="N214" i="2"/>
  <c r="M214" i="2"/>
  <c r="H214" i="2"/>
  <c r="G214" i="2"/>
  <c r="F214" i="2"/>
  <c r="D214" i="2"/>
  <c r="O213" i="2"/>
  <c r="N213" i="2"/>
  <c r="G226" i="2" s="1"/>
  <c r="H213" i="2"/>
  <c r="G213" i="2"/>
  <c r="F213" i="2"/>
  <c r="N212" i="2"/>
  <c r="H212" i="2"/>
  <c r="G212" i="2"/>
  <c r="F212" i="2"/>
  <c r="D212" i="2"/>
  <c r="O211" i="2"/>
  <c r="G237" i="2" s="1"/>
  <c r="N211" i="2"/>
  <c r="H211" i="2"/>
  <c r="G211" i="2"/>
  <c r="F211" i="2"/>
  <c r="D211" i="2"/>
  <c r="N210" i="2"/>
  <c r="H210" i="2"/>
  <c r="G210" i="2"/>
  <c r="F210" i="2"/>
  <c r="D210" i="2"/>
  <c r="N209" i="2"/>
  <c r="G222" i="2" s="1"/>
  <c r="H209" i="2"/>
  <c r="G209" i="2"/>
  <c r="F209" i="2"/>
  <c r="D209" i="2"/>
  <c r="N208" i="2"/>
  <c r="H208" i="2"/>
  <c r="G208" i="2"/>
  <c r="F208" i="2"/>
  <c r="D208" i="2"/>
  <c r="N207" i="2"/>
  <c r="G220" i="2" s="1"/>
  <c r="H207" i="2"/>
  <c r="G207" i="2"/>
  <c r="D207" i="2"/>
  <c r="N206" i="2"/>
  <c r="G206" i="2"/>
  <c r="F206" i="2"/>
  <c r="D206" i="2"/>
  <c r="C238" i="2"/>
  <c r="M183" i="2"/>
  <c r="I183" i="2"/>
  <c r="O182" i="2"/>
  <c r="K182" i="2"/>
  <c r="M181" i="2"/>
  <c r="I181" i="2"/>
  <c r="M180" i="2"/>
  <c r="I180" i="2"/>
  <c r="M179" i="2"/>
  <c r="K179" i="2"/>
  <c r="I179" i="2" s="1"/>
  <c r="K178" i="2"/>
  <c r="M178" i="2" s="1"/>
  <c r="M177" i="2"/>
  <c r="I177" i="2"/>
  <c r="M176" i="2"/>
  <c r="I176" i="2"/>
  <c r="M175" i="2"/>
  <c r="M174" i="2"/>
  <c r="I174" i="2"/>
  <c r="M173" i="2"/>
  <c r="I173" i="2"/>
  <c r="K172" i="2"/>
  <c r="M172" i="2" s="1"/>
  <c r="K171" i="2"/>
  <c r="M171" i="2" s="1"/>
  <c r="O170" i="2"/>
  <c r="M170" i="2"/>
  <c r="M169" i="2"/>
  <c r="M168" i="2"/>
  <c r="I168" i="2"/>
  <c r="M167" i="2"/>
  <c r="I167" i="2"/>
  <c r="O165" i="2"/>
  <c r="M165" i="2"/>
  <c r="K165" i="2"/>
  <c r="I165" i="2" s="1"/>
  <c r="M164" i="2"/>
  <c r="I164" i="2"/>
  <c r="O163" i="2"/>
  <c r="M163" i="2"/>
  <c r="M162" i="2"/>
  <c r="I162" i="2"/>
  <c r="O161" i="2"/>
  <c r="M161" i="2"/>
  <c r="I161" i="2"/>
  <c r="M160" i="2"/>
  <c r="I160" i="2"/>
  <c r="M159" i="2"/>
  <c r="I159" i="2"/>
  <c r="K158" i="2"/>
  <c r="I158" i="2" s="1"/>
  <c r="O157" i="2"/>
  <c r="M157" i="2"/>
  <c r="I157" i="2"/>
  <c r="O156" i="2"/>
  <c r="M156" i="2"/>
  <c r="O155" i="2"/>
  <c r="M155" i="2"/>
  <c r="I155" i="2"/>
  <c r="O154" i="2"/>
  <c r="M154" i="2"/>
  <c r="I154" i="2"/>
  <c r="M153" i="2"/>
  <c r="I153" i="2"/>
  <c r="M152" i="2"/>
  <c r="I152" i="2"/>
  <c r="K151" i="2"/>
  <c r="M151" i="2" s="1"/>
  <c r="M150" i="2"/>
  <c r="I150" i="2"/>
  <c r="M149" i="2"/>
  <c r="I149" i="2"/>
  <c r="M148" i="2"/>
  <c r="I148" i="2"/>
  <c r="O147" i="2"/>
  <c r="M147" i="2"/>
  <c r="I147" i="2"/>
  <c r="O146" i="2"/>
  <c r="M146" i="2"/>
  <c r="I146" i="2"/>
  <c r="O145" i="2"/>
  <c r="M145" i="2"/>
  <c r="I145" i="2"/>
  <c r="O144" i="2"/>
  <c r="M144" i="2"/>
  <c r="I144" i="2"/>
  <c r="O143" i="2"/>
  <c r="M143" i="2"/>
  <c r="I143" i="2"/>
  <c r="O142" i="2"/>
  <c r="M142" i="2"/>
  <c r="I142" i="2"/>
  <c r="O141" i="2"/>
  <c r="M141" i="2"/>
  <c r="I141" i="2"/>
  <c r="M140" i="2"/>
  <c r="I140" i="2"/>
  <c r="O139" i="2"/>
  <c r="M139" i="2"/>
  <c r="I139" i="2"/>
  <c r="O138" i="2"/>
  <c r="M138" i="2"/>
  <c r="I138" i="2"/>
  <c r="O137" i="2"/>
  <c r="M137" i="2"/>
  <c r="I137" i="2"/>
  <c r="O136" i="2"/>
  <c r="M136" i="2"/>
  <c r="O135" i="2"/>
  <c r="M135" i="2"/>
  <c r="I135" i="2"/>
  <c r="O134" i="2"/>
  <c r="M134" i="2"/>
  <c r="I134" i="2"/>
  <c r="O133" i="2"/>
  <c r="M133" i="2"/>
  <c r="I133" i="2"/>
  <c r="O132" i="2"/>
  <c r="M132" i="2"/>
  <c r="O131" i="2"/>
  <c r="M131" i="2"/>
  <c r="I131" i="2"/>
  <c r="M130" i="2"/>
  <c r="I130" i="2"/>
  <c r="O129" i="2"/>
  <c r="M129" i="2"/>
  <c r="I129" i="2"/>
  <c r="M128" i="2"/>
  <c r="I128" i="2"/>
  <c r="O127" i="2"/>
  <c r="M127" i="2"/>
  <c r="I127" i="2"/>
  <c r="O126" i="2"/>
  <c r="M126" i="2"/>
  <c r="I126" i="2"/>
  <c r="M125" i="2"/>
  <c r="I125" i="2"/>
  <c r="O124" i="2"/>
  <c r="M124" i="2"/>
  <c r="O123" i="2"/>
  <c r="M123" i="2"/>
  <c r="O122" i="2"/>
  <c r="M122" i="2"/>
  <c r="I122" i="2"/>
  <c r="M121" i="2"/>
  <c r="I121" i="2"/>
  <c r="M120" i="2"/>
  <c r="I120" i="2"/>
  <c r="M119" i="2"/>
  <c r="I119" i="2"/>
  <c r="M118" i="2"/>
  <c r="I118" i="2"/>
  <c r="O117" i="2"/>
  <c r="M117" i="2"/>
  <c r="I117" i="2"/>
  <c r="O116" i="2"/>
  <c r="M116" i="2"/>
  <c r="I116" i="2"/>
  <c r="O115" i="2"/>
  <c r="M115" i="2"/>
  <c r="I115" i="2"/>
  <c r="O114" i="2"/>
  <c r="M114" i="2"/>
  <c r="I114" i="2"/>
  <c r="O113" i="2"/>
  <c r="M113" i="2"/>
  <c r="I113" i="2"/>
  <c r="O112" i="2"/>
  <c r="M112" i="2"/>
  <c r="I112" i="2"/>
  <c r="O111" i="2"/>
  <c r="M111" i="2"/>
  <c r="I111" i="2"/>
  <c r="O110" i="2"/>
  <c r="M110" i="2"/>
  <c r="I110" i="2"/>
  <c r="O109" i="2"/>
  <c r="M109" i="2"/>
  <c r="I109" i="2"/>
  <c r="O108" i="2"/>
  <c r="M108" i="2"/>
  <c r="I108" i="2"/>
  <c r="O107" i="2"/>
  <c r="M107" i="2"/>
  <c r="I107" i="2"/>
  <c r="M106" i="2"/>
  <c r="I106" i="2"/>
  <c r="M105" i="2"/>
  <c r="I105" i="2"/>
  <c r="M104" i="2"/>
  <c r="I104" i="2"/>
  <c r="M103" i="2"/>
  <c r="I103" i="2"/>
  <c r="M102" i="2"/>
  <c r="I102" i="2"/>
  <c r="O101" i="2"/>
  <c r="M101" i="2"/>
  <c r="I101" i="2"/>
  <c r="O100" i="2"/>
  <c r="M100" i="2"/>
  <c r="I100" i="2"/>
  <c r="O99" i="2"/>
  <c r="M99" i="2"/>
  <c r="I99" i="2"/>
  <c r="M98" i="2"/>
  <c r="I98" i="2"/>
  <c r="M97" i="2"/>
  <c r="I97" i="2"/>
  <c r="M96" i="2"/>
  <c r="M95" i="2"/>
  <c r="M94" i="2"/>
  <c r="O93" i="2"/>
  <c r="M93" i="2"/>
  <c r="I93" i="2"/>
  <c r="O92" i="2"/>
  <c r="K92" i="2"/>
  <c r="I92" i="2" s="1"/>
  <c r="O91" i="2"/>
  <c r="M91" i="2"/>
  <c r="I91" i="2"/>
  <c r="M90" i="2"/>
  <c r="I90" i="2"/>
  <c r="M89" i="2"/>
  <c r="I89" i="2"/>
  <c r="O88" i="2"/>
  <c r="M88" i="2"/>
  <c r="I88" i="2"/>
  <c r="O87" i="2"/>
  <c r="M87" i="2"/>
  <c r="I87" i="2"/>
  <c r="M86" i="2"/>
  <c r="I86" i="2"/>
  <c r="O85" i="2"/>
  <c r="M85" i="2"/>
  <c r="I85" i="2"/>
  <c r="M84" i="2"/>
  <c r="I84" i="2"/>
  <c r="O83" i="2"/>
  <c r="M83" i="2"/>
  <c r="I83" i="2"/>
  <c r="O82" i="2"/>
  <c r="M82" i="2"/>
  <c r="M81" i="2"/>
  <c r="I81" i="2"/>
  <c r="M80" i="2"/>
  <c r="I80" i="2"/>
  <c r="O79" i="2"/>
  <c r="M79" i="2"/>
  <c r="I79" i="2"/>
  <c r="M78" i="2"/>
  <c r="I78" i="2"/>
  <c r="O77" i="2"/>
  <c r="M77" i="2"/>
  <c r="I77" i="2"/>
  <c r="O76" i="2"/>
  <c r="M76" i="2"/>
  <c r="O212" i="2" s="1"/>
  <c r="I76" i="2"/>
  <c r="O75" i="2"/>
  <c r="M75" i="2"/>
  <c r="I75" i="2"/>
  <c r="O74" i="2"/>
  <c r="M74" i="2"/>
  <c r="I74" i="2"/>
  <c r="O73" i="2"/>
  <c r="M73" i="2"/>
  <c r="I73" i="2"/>
  <c r="O72" i="2"/>
  <c r="M72" i="2"/>
  <c r="I72" i="2"/>
  <c r="M71" i="2"/>
  <c r="I71" i="2"/>
  <c r="O70" i="2"/>
  <c r="M70" i="2"/>
  <c r="I70" i="2"/>
  <c r="O69" i="2"/>
  <c r="M69" i="2"/>
  <c r="I69" i="2"/>
  <c r="O68" i="2"/>
  <c r="M68" i="2"/>
  <c r="I68" i="2"/>
  <c r="M67" i="2"/>
  <c r="I67" i="2"/>
  <c r="O66" i="2"/>
  <c r="M66" i="2"/>
  <c r="I66" i="2"/>
  <c r="O65" i="2"/>
  <c r="M65" i="2"/>
  <c r="I65" i="2"/>
  <c r="O64" i="2"/>
  <c r="M64" i="2"/>
  <c r="I64" i="2"/>
  <c r="M63" i="2"/>
  <c r="I63" i="2"/>
  <c r="M62" i="2"/>
  <c r="I62" i="2"/>
  <c r="M61" i="2"/>
  <c r="I61" i="2"/>
  <c r="M60" i="2"/>
  <c r="I60" i="2"/>
  <c r="O59" i="2"/>
  <c r="M59" i="2"/>
  <c r="I59" i="2"/>
  <c r="M58" i="2"/>
  <c r="I58" i="2"/>
  <c r="O57" i="2"/>
  <c r="M57" i="2"/>
  <c r="I57" i="2"/>
  <c r="M56" i="2"/>
  <c r="M55" i="2"/>
  <c r="I55" i="2"/>
  <c r="O54" i="2"/>
  <c r="M54" i="2"/>
  <c r="I54" i="2"/>
  <c r="O53" i="2"/>
  <c r="M53" i="2"/>
  <c r="I53" i="2"/>
  <c r="M52" i="2"/>
  <c r="I52" i="2"/>
  <c r="O51" i="2"/>
  <c r="M51" i="2"/>
  <c r="I51" i="2"/>
  <c r="O50" i="2"/>
  <c r="M50" i="2"/>
  <c r="I50" i="2"/>
  <c r="O49" i="2"/>
  <c r="M49" i="2"/>
  <c r="I49" i="2"/>
  <c r="M48" i="2"/>
  <c r="I48" i="2"/>
  <c r="M47" i="2"/>
  <c r="I47" i="2"/>
  <c r="M46" i="2"/>
  <c r="I46" i="2"/>
  <c r="O45" i="2"/>
  <c r="M45" i="2"/>
  <c r="I45" i="2"/>
  <c r="M44" i="2"/>
  <c r="I44" i="2"/>
  <c r="O43" i="2"/>
  <c r="M43" i="2"/>
  <c r="I43" i="2"/>
  <c r="M42" i="2"/>
  <c r="I42" i="2"/>
  <c r="O41" i="2"/>
  <c r="M41" i="2"/>
  <c r="I41" i="2"/>
  <c r="O40" i="2"/>
  <c r="M40" i="2"/>
  <c r="I40" i="2"/>
  <c r="M39" i="2"/>
  <c r="I39" i="2"/>
  <c r="O38" i="2"/>
  <c r="M38" i="2"/>
  <c r="I38" i="2"/>
  <c r="O37" i="2"/>
  <c r="M37" i="2"/>
  <c r="I37" i="2"/>
  <c r="M36" i="2"/>
  <c r="I36" i="2"/>
  <c r="M35" i="2"/>
  <c r="I35" i="2"/>
  <c r="O34" i="2"/>
  <c r="M34" i="2"/>
  <c r="I34" i="2"/>
  <c r="O33" i="2"/>
  <c r="M33" i="2"/>
  <c r="I33" i="2"/>
  <c r="M32" i="2"/>
  <c r="I32" i="2"/>
  <c r="M31" i="2"/>
  <c r="I31" i="2"/>
  <c r="M30" i="2"/>
  <c r="I30" i="2"/>
  <c r="O29" i="2"/>
  <c r="M29" i="2"/>
  <c r="I29" i="2"/>
  <c r="M28" i="2"/>
  <c r="I28" i="2"/>
  <c r="O27" i="2"/>
  <c r="M27" i="2"/>
  <c r="I27" i="2"/>
  <c r="O26" i="2"/>
  <c r="M26" i="2"/>
  <c r="I26" i="2"/>
  <c r="O25" i="2"/>
  <c r="M25" i="2"/>
  <c r="I25" i="2"/>
  <c r="M24" i="2"/>
  <c r="I24" i="2"/>
  <c r="M23" i="2"/>
  <c r="I23" i="2"/>
  <c r="O22" i="2"/>
  <c r="M22" i="2"/>
  <c r="I22" i="2"/>
  <c r="M21" i="2"/>
  <c r="I21" i="2"/>
  <c r="M20" i="2"/>
  <c r="I20" i="2"/>
  <c r="M19" i="2"/>
  <c r="I19" i="2"/>
  <c r="G19" i="2"/>
  <c r="O18" i="2"/>
  <c r="M18" i="2"/>
  <c r="I18" i="2"/>
  <c r="O17" i="2"/>
  <c r="M17" i="2"/>
  <c r="I17" i="2"/>
  <c r="M16" i="2"/>
  <c r="I16" i="2"/>
  <c r="O15" i="2"/>
  <c r="M15" i="2"/>
  <c r="I15" i="2"/>
  <c r="M14" i="2"/>
  <c r="I14" i="2"/>
  <c r="M13" i="2"/>
  <c r="I13" i="2"/>
  <c r="O12" i="2"/>
  <c r="M12" i="2"/>
  <c r="I12" i="2"/>
  <c r="M11" i="2"/>
  <c r="I11" i="2"/>
  <c r="J443" i="1"/>
  <c r="S234" i="1"/>
  <c r="R234" i="1"/>
  <c r="S233" i="1"/>
  <c r="S235" i="1" s="1"/>
  <c r="R233" i="1"/>
  <c r="T232" i="1"/>
  <c r="R230" i="1"/>
  <c r="S229" i="1"/>
  <c r="R229" i="1"/>
  <c r="S228" i="1"/>
  <c r="R228" i="1"/>
  <c r="T227" i="1"/>
  <c r="R226" i="1"/>
  <c r="E225" i="1"/>
  <c r="E224" i="1"/>
  <c r="E223" i="1"/>
  <c r="S222" i="1"/>
  <c r="S225" i="1" s="1"/>
  <c r="R222" i="1"/>
  <c r="R225" i="1" s="1"/>
  <c r="E222" i="1"/>
  <c r="T221" i="1"/>
  <c r="T204" i="1" s="1"/>
  <c r="E221" i="1"/>
  <c r="E220" i="1"/>
  <c r="E219" i="1"/>
  <c r="E218" i="1"/>
  <c r="S217" i="1"/>
  <c r="S219" i="1" s="1"/>
  <c r="R217" i="1"/>
  <c r="R219" i="1" s="1"/>
  <c r="E217" i="1"/>
  <c r="T216" i="1"/>
  <c r="R216" i="1"/>
  <c r="U214" i="1"/>
  <c r="W213" i="1"/>
  <c r="V213" i="1"/>
  <c r="U213" i="1"/>
  <c r="S213" i="1"/>
  <c r="R213" i="1"/>
  <c r="W212" i="1"/>
  <c r="W214" i="1" s="1"/>
  <c r="V212" i="1"/>
  <c r="V214" i="1" s="1"/>
  <c r="U212" i="1"/>
  <c r="T212" i="1"/>
  <c r="S212" i="1"/>
  <c r="S214" i="1" s="1"/>
  <c r="R212" i="1"/>
  <c r="R214" i="1" s="1"/>
  <c r="F212" i="1"/>
  <c r="E212" i="1"/>
  <c r="C212" i="1"/>
  <c r="G211" i="1"/>
  <c r="E211" i="1"/>
  <c r="F211" i="1" s="1"/>
  <c r="C211" i="1"/>
  <c r="E210" i="1"/>
  <c r="Q197" i="1" s="1"/>
  <c r="C210" i="1"/>
  <c r="G209" i="1"/>
  <c r="E209" i="1"/>
  <c r="C209" i="1"/>
  <c r="F209" i="1" s="1"/>
  <c r="G208" i="1"/>
  <c r="E208" i="1"/>
  <c r="Q195" i="1" s="1"/>
  <c r="C208" i="1"/>
  <c r="S207" i="1"/>
  <c r="R207" i="1"/>
  <c r="R208" i="1" s="1"/>
  <c r="E207" i="1"/>
  <c r="F207" i="1" s="1"/>
  <c r="C207" i="1"/>
  <c r="T206" i="1"/>
  <c r="S206" i="1"/>
  <c r="S208" i="1" s="1"/>
  <c r="R206" i="1"/>
  <c r="E206" i="1"/>
  <c r="C206" i="1"/>
  <c r="G205" i="1"/>
  <c r="E205" i="1"/>
  <c r="C205" i="1"/>
  <c r="F205" i="1" s="1"/>
  <c r="E204" i="1"/>
  <c r="W199" i="1"/>
  <c r="V199" i="1"/>
  <c r="X199" i="1" s="1"/>
  <c r="S199" i="1"/>
  <c r="Q199" i="1"/>
  <c r="N199" i="1"/>
  <c r="N200" i="1" s="1"/>
  <c r="M199" i="1"/>
  <c r="H199" i="1"/>
  <c r="I199" i="1" s="1"/>
  <c r="G199" i="1"/>
  <c r="F199" i="1"/>
  <c r="J199" i="1" s="1"/>
  <c r="D199" i="1"/>
  <c r="W198" i="1"/>
  <c r="S198" i="1"/>
  <c r="Q198" i="1"/>
  <c r="N198" i="1"/>
  <c r="I198" i="1"/>
  <c r="H198" i="1"/>
  <c r="G198" i="1"/>
  <c r="F198" i="1"/>
  <c r="J198" i="1" s="1"/>
  <c r="V198" i="1" s="1"/>
  <c r="X198" i="1" s="1"/>
  <c r="W197" i="1"/>
  <c r="S197" i="1"/>
  <c r="N197" i="1"/>
  <c r="G210" i="1" s="1"/>
  <c r="H197" i="1"/>
  <c r="G197" i="1"/>
  <c r="F197" i="1"/>
  <c r="J197" i="1" s="1"/>
  <c r="V197" i="1" s="1"/>
  <c r="X197" i="1" s="1"/>
  <c r="D197" i="1"/>
  <c r="S196" i="1"/>
  <c r="Q196" i="1"/>
  <c r="O196" i="1"/>
  <c r="G222" i="1" s="1"/>
  <c r="N196" i="1"/>
  <c r="J196" i="1"/>
  <c r="V196" i="1" s="1"/>
  <c r="H196" i="1"/>
  <c r="W196" i="1" s="1"/>
  <c r="G196" i="1"/>
  <c r="F196" i="1"/>
  <c r="D196" i="1"/>
  <c r="W195" i="1"/>
  <c r="S195" i="1"/>
  <c r="N195" i="1"/>
  <c r="H195" i="1"/>
  <c r="G195" i="1"/>
  <c r="F195" i="1"/>
  <c r="J195" i="1" s="1"/>
  <c r="V195" i="1" s="1"/>
  <c r="X195" i="1" s="1"/>
  <c r="D195" i="1"/>
  <c r="S194" i="1"/>
  <c r="Q194" i="1"/>
  <c r="N194" i="1"/>
  <c r="J194" i="1"/>
  <c r="V194" i="1" s="1"/>
  <c r="H194" i="1"/>
  <c r="W194" i="1" s="1"/>
  <c r="G194" i="1"/>
  <c r="F194" i="1"/>
  <c r="D194" i="1"/>
  <c r="W193" i="1"/>
  <c r="S193" i="1"/>
  <c r="N193" i="1"/>
  <c r="H193" i="1"/>
  <c r="G193" i="1"/>
  <c r="F193" i="1"/>
  <c r="J193" i="1" s="1"/>
  <c r="V193" i="1" s="1"/>
  <c r="X193" i="1" s="1"/>
  <c r="D193" i="1"/>
  <c r="S192" i="1"/>
  <c r="Q192" i="1"/>
  <c r="N192" i="1"/>
  <c r="H192" i="1"/>
  <c r="W192" i="1" s="1"/>
  <c r="G192" i="1"/>
  <c r="D192" i="1"/>
  <c r="S191" i="1"/>
  <c r="Q191" i="1"/>
  <c r="N191" i="1"/>
  <c r="R237" i="1" s="1"/>
  <c r="G191" i="1"/>
  <c r="G200" i="1" s="1"/>
  <c r="F191" i="1"/>
  <c r="J191" i="1" s="1"/>
  <c r="D191" i="1"/>
  <c r="D200" i="1" s="1"/>
  <c r="E199" i="1" s="1"/>
  <c r="AE175" i="1"/>
  <c r="J169" i="1"/>
  <c r="K168" i="1"/>
  <c r="I168" i="1" s="1"/>
  <c r="M167" i="1"/>
  <c r="K167" i="1"/>
  <c r="I167" i="1"/>
  <c r="M166" i="1"/>
  <c r="M165" i="1"/>
  <c r="K165" i="1"/>
  <c r="I165" i="1"/>
  <c r="K164" i="1"/>
  <c r="M164" i="1" s="1"/>
  <c r="I164" i="1"/>
  <c r="M163" i="1"/>
  <c r="K162" i="1"/>
  <c r="M162" i="1" s="1"/>
  <c r="I162" i="1"/>
  <c r="M161" i="1"/>
  <c r="K161" i="1"/>
  <c r="K160" i="1"/>
  <c r="M159" i="1"/>
  <c r="K159" i="1"/>
  <c r="I159" i="1" s="1"/>
  <c r="K158" i="1"/>
  <c r="M158" i="1" s="1"/>
  <c r="I158" i="1"/>
  <c r="O157" i="1"/>
  <c r="M157" i="1"/>
  <c r="K157" i="1"/>
  <c r="I157" i="1"/>
  <c r="M156" i="1"/>
  <c r="K156" i="1"/>
  <c r="I156" i="1"/>
  <c r="O155" i="1"/>
  <c r="M155" i="1"/>
  <c r="K155" i="1"/>
  <c r="I155" i="1" s="1"/>
  <c r="M154" i="1"/>
  <c r="M153" i="1"/>
  <c r="K153" i="1"/>
  <c r="I153" i="1" s="1"/>
  <c r="K152" i="1"/>
  <c r="M152" i="1" s="1"/>
  <c r="I152" i="1"/>
  <c r="O151" i="1"/>
  <c r="M151" i="1"/>
  <c r="K151" i="1"/>
  <c r="I151" i="1"/>
  <c r="O150" i="1"/>
  <c r="M150" i="1"/>
  <c r="K149" i="1"/>
  <c r="M149" i="1" s="1"/>
  <c r="O148" i="1"/>
  <c r="M148" i="1"/>
  <c r="K148" i="1"/>
  <c r="I148" i="1"/>
  <c r="M147" i="1"/>
  <c r="I147" i="1"/>
  <c r="K146" i="1"/>
  <c r="M146" i="1" s="1"/>
  <c r="I146" i="1"/>
  <c r="K145" i="1"/>
  <c r="M144" i="1"/>
  <c r="K144" i="1"/>
  <c r="I144" i="1" s="1"/>
  <c r="M143" i="1"/>
  <c r="O142" i="1"/>
  <c r="M142" i="1"/>
  <c r="I142" i="1"/>
  <c r="K141" i="1"/>
  <c r="M141" i="1" s="1"/>
  <c r="I141" i="1"/>
  <c r="K140" i="1"/>
  <c r="M139" i="1"/>
  <c r="I139" i="1"/>
  <c r="M138" i="1"/>
  <c r="I138" i="1"/>
  <c r="M137" i="1"/>
  <c r="K137" i="1"/>
  <c r="M136" i="1"/>
  <c r="K136" i="1"/>
  <c r="I136" i="1"/>
  <c r="M135" i="1"/>
  <c r="K135" i="1"/>
  <c r="I135" i="1"/>
  <c r="M134" i="1"/>
  <c r="I134" i="1"/>
  <c r="K133" i="1"/>
  <c r="O132" i="1"/>
  <c r="M132" i="1"/>
  <c r="K132" i="1"/>
  <c r="I132" i="1"/>
  <c r="O131" i="1"/>
  <c r="M131" i="1"/>
  <c r="O193" i="1" s="1"/>
  <c r="I131" i="1"/>
  <c r="O130" i="1"/>
  <c r="M130" i="1"/>
  <c r="O129" i="1"/>
  <c r="M129" i="1"/>
  <c r="I129" i="1"/>
  <c r="K128" i="1"/>
  <c r="M128" i="1" s="1"/>
  <c r="O127" i="1"/>
  <c r="M127" i="1"/>
  <c r="K126" i="1"/>
  <c r="M126" i="1" s="1"/>
  <c r="I126" i="1"/>
  <c r="K125" i="1"/>
  <c r="M124" i="1"/>
  <c r="K124" i="1"/>
  <c r="I124" i="1" s="1"/>
  <c r="K123" i="1"/>
  <c r="M123" i="1" s="1"/>
  <c r="I123" i="1"/>
  <c r="O122" i="1"/>
  <c r="M122" i="1"/>
  <c r="M121" i="1"/>
  <c r="K121" i="1"/>
  <c r="I121" i="1" s="1"/>
  <c r="M120" i="1"/>
  <c r="K120" i="1"/>
  <c r="I120" i="1"/>
  <c r="M119" i="1"/>
  <c r="I119" i="1"/>
  <c r="M118" i="1"/>
  <c r="I118" i="1"/>
  <c r="K117" i="1"/>
  <c r="M117" i="1" s="1"/>
  <c r="I117" i="1"/>
  <c r="O116" i="1"/>
  <c r="M116" i="1"/>
  <c r="I116" i="1"/>
  <c r="M115" i="1"/>
  <c r="K115" i="1"/>
  <c r="I115" i="1"/>
  <c r="O114" i="1"/>
  <c r="M114" i="1"/>
  <c r="K113" i="1"/>
  <c r="M113" i="1" s="1"/>
  <c r="K112" i="1"/>
  <c r="O111" i="1"/>
  <c r="M111" i="1"/>
  <c r="I111" i="1"/>
  <c r="O110" i="1"/>
  <c r="M110" i="1"/>
  <c r="K110" i="1"/>
  <c r="I110" i="1" s="1"/>
  <c r="O109" i="1"/>
  <c r="K109" i="1"/>
  <c r="M109" i="1" s="1"/>
  <c r="O108" i="1"/>
  <c r="M108" i="1"/>
  <c r="K108" i="1"/>
  <c r="O107" i="1"/>
  <c r="K107" i="1"/>
  <c r="M107" i="1" s="1"/>
  <c r="I107" i="1"/>
  <c r="M106" i="1"/>
  <c r="K106" i="1"/>
  <c r="I106" i="1" s="1"/>
  <c r="O105" i="1"/>
  <c r="M105" i="1"/>
  <c r="I105" i="1"/>
  <c r="O104" i="1"/>
  <c r="M104" i="1"/>
  <c r="I104" i="1"/>
  <c r="O103" i="1"/>
  <c r="M103" i="1"/>
  <c r="O102" i="1"/>
  <c r="M102" i="1"/>
  <c r="O101" i="1"/>
  <c r="M101" i="1"/>
  <c r="K101" i="1"/>
  <c r="I101" i="1" s="1"/>
  <c r="O100" i="1"/>
  <c r="M100" i="1"/>
  <c r="K100" i="1"/>
  <c r="I100" i="1"/>
  <c r="M99" i="1"/>
  <c r="O98" i="1"/>
  <c r="M98" i="1"/>
  <c r="O199" i="1" s="1"/>
  <c r="I98" i="1"/>
  <c r="O97" i="1"/>
  <c r="M97" i="1"/>
  <c r="I97" i="1"/>
  <c r="O96" i="1"/>
  <c r="K96" i="1"/>
  <c r="M95" i="1"/>
  <c r="K95" i="1"/>
  <c r="I95" i="1"/>
  <c r="O94" i="1"/>
  <c r="M94" i="1"/>
  <c r="I94" i="1"/>
  <c r="K93" i="1"/>
  <c r="M92" i="1"/>
  <c r="K92" i="1"/>
  <c r="I92" i="1"/>
  <c r="O91" i="1"/>
  <c r="K91" i="1"/>
  <c r="I91" i="1" s="1"/>
  <c r="M90" i="1"/>
  <c r="K90" i="1"/>
  <c r="I90" i="1"/>
  <c r="K89" i="1"/>
  <c r="M89" i="1" s="1"/>
  <c r="I89" i="1"/>
  <c r="O88" i="1"/>
  <c r="M88" i="1"/>
  <c r="K87" i="1"/>
  <c r="O86" i="1"/>
  <c r="K86" i="1"/>
  <c r="M86" i="1" s="1"/>
  <c r="I86" i="1"/>
  <c r="K85" i="1"/>
  <c r="I85" i="1" s="1"/>
  <c r="M84" i="1"/>
  <c r="K84" i="1"/>
  <c r="I84" i="1"/>
  <c r="O83" i="1"/>
  <c r="M83" i="1"/>
  <c r="O82" i="1"/>
  <c r="K82" i="1"/>
  <c r="I82" i="1" s="1"/>
  <c r="M81" i="1"/>
  <c r="K81" i="1"/>
  <c r="O80" i="1"/>
  <c r="M80" i="1"/>
  <c r="O79" i="1"/>
  <c r="M79" i="1"/>
  <c r="O78" i="1"/>
  <c r="M78" i="1"/>
  <c r="O77" i="1"/>
  <c r="M77" i="1"/>
  <c r="I77" i="1"/>
  <c r="O76" i="1"/>
  <c r="M76" i="1"/>
  <c r="I76" i="1"/>
  <c r="O75" i="1"/>
  <c r="M75" i="1"/>
  <c r="O74" i="1"/>
  <c r="M74" i="1"/>
  <c r="I74" i="1"/>
  <c r="M73" i="1"/>
  <c r="I73" i="1"/>
  <c r="O72" i="1"/>
  <c r="K72" i="1"/>
  <c r="M72" i="1" s="1"/>
  <c r="I72" i="1"/>
  <c r="M71" i="1"/>
  <c r="I71" i="1"/>
  <c r="O70" i="1"/>
  <c r="M70" i="1"/>
  <c r="I70" i="1"/>
  <c r="O69" i="1"/>
  <c r="K69" i="1"/>
  <c r="M69" i="1" s="1"/>
  <c r="I69" i="1"/>
  <c r="K68" i="1"/>
  <c r="I68" i="1" s="1"/>
  <c r="O67" i="1"/>
  <c r="M67" i="1"/>
  <c r="M66" i="1"/>
  <c r="K66" i="1"/>
  <c r="I66" i="1"/>
  <c r="M65" i="1"/>
  <c r="I65" i="1"/>
  <c r="O64" i="1"/>
  <c r="K64" i="1"/>
  <c r="M64" i="1" s="1"/>
  <c r="I64" i="1"/>
  <c r="O63" i="1"/>
  <c r="K63" i="1"/>
  <c r="M63" i="1" s="1"/>
  <c r="O62" i="1"/>
  <c r="M62" i="1"/>
  <c r="K62" i="1"/>
  <c r="I62" i="1"/>
  <c r="O61" i="1"/>
  <c r="M61" i="1"/>
  <c r="O60" i="1"/>
  <c r="M60" i="1"/>
  <c r="I60" i="1"/>
  <c r="O59" i="1"/>
  <c r="M59" i="1"/>
  <c r="K59" i="1"/>
  <c r="M58" i="1"/>
  <c r="I58" i="1"/>
  <c r="M57" i="1"/>
  <c r="K57" i="1"/>
  <c r="I57" i="1"/>
  <c r="O56" i="1"/>
  <c r="M56" i="1"/>
  <c r="O55" i="1"/>
  <c r="M55" i="1"/>
  <c r="O54" i="1"/>
  <c r="M54" i="1"/>
  <c r="I54" i="1"/>
  <c r="T53" i="1"/>
  <c r="W53" i="1" s="1"/>
  <c r="M53" i="1"/>
  <c r="W52" i="1"/>
  <c r="M52" i="1"/>
  <c r="T52" i="1" s="1"/>
  <c r="M51" i="1"/>
  <c r="T51" i="1" s="1"/>
  <c r="W51" i="1" s="1"/>
  <c r="M50" i="1"/>
  <c r="T50" i="1" s="1"/>
  <c r="T49" i="1"/>
  <c r="M49" i="1"/>
  <c r="V48" i="1"/>
  <c r="M48" i="1"/>
  <c r="T48" i="1" s="1"/>
  <c r="I48" i="1"/>
  <c r="O47" i="1"/>
  <c r="M47" i="1"/>
  <c r="I47" i="1"/>
  <c r="O46" i="1"/>
  <c r="M46" i="1"/>
  <c r="K46" i="1"/>
  <c r="I46" i="1"/>
  <c r="M45" i="1"/>
  <c r="K45" i="1"/>
  <c r="I45" i="1"/>
  <c r="O44" i="1"/>
  <c r="M44" i="1"/>
  <c r="I44" i="1"/>
  <c r="Q44" i="1" s="1"/>
  <c r="U44" i="1" s="1"/>
  <c r="U43" i="1"/>
  <c r="O43" i="1"/>
  <c r="M43" i="1"/>
  <c r="I43" i="1"/>
  <c r="Q43" i="1" s="1"/>
  <c r="U42" i="1"/>
  <c r="M42" i="1"/>
  <c r="I42" i="1"/>
  <c r="Q42" i="1" s="1"/>
  <c r="M41" i="1"/>
  <c r="I41" i="1"/>
  <c r="Q41" i="1" s="1"/>
  <c r="U41" i="1" s="1"/>
  <c r="O40" i="1"/>
  <c r="M40" i="1"/>
  <c r="I40" i="1"/>
  <c r="Q40" i="1" s="1"/>
  <c r="U40" i="1" s="1"/>
  <c r="O39" i="1"/>
  <c r="M39" i="1"/>
  <c r="I39" i="1"/>
  <c r="Q39" i="1" s="1"/>
  <c r="U39" i="1" s="1"/>
  <c r="Q38" i="1"/>
  <c r="U38" i="1" s="1"/>
  <c r="M38" i="1"/>
  <c r="I38" i="1"/>
  <c r="M37" i="1"/>
  <c r="I37" i="1"/>
  <c r="Q37" i="1" s="1"/>
  <c r="U37" i="1" s="1"/>
  <c r="AD36" i="1"/>
  <c r="AC36" i="1"/>
  <c r="Q36" i="1"/>
  <c r="U36" i="1" s="1"/>
  <c r="M36" i="1"/>
  <c r="I36" i="1"/>
  <c r="AD35" i="1"/>
  <c r="AC35" i="1"/>
  <c r="O35" i="1"/>
  <c r="K35" i="1"/>
  <c r="I35" i="1" s="1"/>
  <c r="Q35" i="1" s="1"/>
  <c r="U35" i="1" s="1"/>
  <c r="K34" i="1"/>
  <c r="M34" i="1" s="1"/>
  <c r="I34" i="1"/>
  <c r="Q34" i="1" s="1"/>
  <c r="U34" i="1" s="1"/>
  <c r="O33" i="1"/>
  <c r="K33" i="1"/>
  <c r="M33" i="1" s="1"/>
  <c r="I33" i="1"/>
  <c r="Q33" i="1" s="1"/>
  <c r="U33" i="1" s="1"/>
  <c r="L32" i="1"/>
  <c r="K32" i="1"/>
  <c r="M32" i="1" s="1"/>
  <c r="I32" i="1"/>
  <c r="Q32" i="1" s="1"/>
  <c r="U32" i="1" s="1"/>
  <c r="O31" i="1"/>
  <c r="K31" i="1"/>
  <c r="I31" i="1" s="1"/>
  <c r="Q31" i="1" s="1"/>
  <c r="U31" i="1" s="1"/>
  <c r="O30" i="1"/>
  <c r="M30" i="1"/>
  <c r="K30" i="1"/>
  <c r="I30" i="1"/>
  <c r="Q30" i="1" s="1"/>
  <c r="U30" i="1" s="1"/>
  <c r="M29" i="1"/>
  <c r="K29" i="1"/>
  <c r="I29" i="1"/>
  <c r="Q29" i="1" s="1"/>
  <c r="U29" i="1" s="1"/>
  <c r="O28" i="1"/>
  <c r="K28" i="1"/>
  <c r="M28" i="1" s="1"/>
  <c r="I28" i="1"/>
  <c r="Q28" i="1" s="1"/>
  <c r="U28" i="1" s="1"/>
  <c r="K27" i="1"/>
  <c r="I27" i="1" s="1"/>
  <c r="M26" i="1"/>
  <c r="O25" i="1"/>
  <c r="M25" i="1"/>
  <c r="O24" i="1"/>
  <c r="M24" i="1"/>
  <c r="M23" i="1"/>
  <c r="O192" i="1" s="1"/>
  <c r="M22" i="1"/>
  <c r="O21" i="1"/>
  <c r="M21" i="1"/>
  <c r="O197" i="1" s="1"/>
  <c r="I21" i="1"/>
  <c r="O20" i="1"/>
  <c r="M20" i="1"/>
  <c r="K20" i="1"/>
  <c r="I20" i="1"/>
  <c r="M19" i="1"/>
  <c r="K19" i="1"/>
  <c r="I19" i="1"/>
  <c r="O18" i="1"/>
  <c r="M18" i="1"/>
  <c r="K18" i="1"/>
  <c r="I18" i="1" s="1"/>
  <c r="K17" i="1"/>
  <c r="I17" i="1" s="1"/>
  <c r="Q17" i="1" s="1"/>
  <c r="U17" i="1" s="1"/>
  <c r="M16" i="1"/>
  <c r="I16" i="1"/>
  <c r="O15" i="1"/>
  <c r="K15" i="1"/>
  <c r="M15" i="1" s="1"/>
  <c r="M14" i="1"/>
  <c r="O198" i="1" s="1"/>
  <c r="L14" i="1"/>
  <c r="L169" i="1" s="1"/>
  <c r="I14" i="1"/>
  <c r="M13" i="1"/>
  <c r="I13" i="1"/>
  <c r="U13" i="1" s="1"/>
  <c r="U12" i="1"/>
  <c r="O12" i="1"/>
  <c r="M12" i="1"/>
  <c r="I12" i="1"/>
  <c r="X12" i="1"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O11" i="1"/>
  <c r="M11" i="1"/>
  <c r="I11" i="1"/>
  <c r="A11" i="1"/>
  <c r="O10" i="1"/>
  <c r="M10" i="1"/>
  <c r="O195" i="1" s="1"/>
  <c r="K10" i="1"/>
  <c r="I10" i="1"/>
  <c r="G10" i="1"/>
  <c r="L72" i="4" l="1"/>
  <c r="M193" i="2"/>
  <c r="M192" i="2"/>
  <c r="M190" i="2"/>
  <c r="M189" i="2"/>
  <c r="J459" i="2"/>
  <c r="H51" i="4"/>
  <c r="H60" i="4"/>
  <c r="J208" i="2"/>
  <c r="F222" i="2"/>
  <c r="I222" i="2" s="1"/>
  <c r="P209" i="2" s="1"/>
  <c r="F225" i="2"/>
  <c r="J209" i="2"/>
  <c r="M158" i="2"/>
  <c r="M92" i="2"/>
  <c r="C233" i="2" s="1"/>
  <c r="F233" i="2" s="1"/>
  <c r="I172" i="2"/>
  <c r="I211" i="2"/>
  <c r="J213" i="2"/>
  <c r="O214" i="2"/>
  <c r="K184" i="2"/>
  <c r="K188" i="2" s="1"/>
  <c r="I151" i="2"/>
  <c r="E241" i="2"/>
  <c r="F220" i="2"/>
  <c r="I220" i="2" s="1"/>
  <c r="F223" i="2"/>
  <c r="F221" i="2"/>
  <c r="C239" i="2"/>
  <c r="F239" i="2" s="1"/>
  <c r="J211" i="2"/>
  <c r="F227" i="2"/>
  <c r="C236" i="2"/>
  <c r="F236" i="2" s="1"/>
  <c r="G239" i="2"/>
  <c r="F238" i="2"/>
  <c r="C219" i="2"/>
  <c r="F219" i="2" s="1"/>
  <c r="O210" i="2"/>
  <c r="O208" i="2"/>
  <c r="L38" i="4"/>
  <c r="L22" i="4"/>
  <c r="L36" i="4"/>
  <c r="H23" i="4"/>
  <c r="L34" i="4"/>
  <c r="N209" i="1"/>
  <c r="N208" i="1"/>
  <c r="G221" i="1"/>
  <c r="V50" i="1"/>
  <c r="W50" i="1"/>
  <c r="G223" i="1"/>
  <c r="G219" i="1"/>
  <c r="G218" i="1"/>
  <c r="G225" i="2"/>
  <c r="M17" i="1"/>
  <c r="O191" i="1" s="1"/>
  <c r="M35" i="1"/>
  <c r="M160" i="1"/>
  <c r="I160" i="1"/>
  <c r="X196" i="1"/>
  <c r="I182" i="2"/>
  <c r="M182" i="2"/>
  <c r="K169" i="1"/>
  <c r="M31" i="1"/>
  <c r="I63" i="1"/>
  <c r="M85" i="1"/>
  <c r="M133" i="1"/>
  <c r="I133" i="1"/>
  <c r="M140" i="1"/>
  <c r="I140" i="1"/>
  <c r="I149" i="1"/>
  <c r="M168" i="1"/>
  <c r="V191" i="1"/>
  <c r="E197" i="1"/>
  <c r="W49" i="1"/>
  <c r="G227" i="2"/>
  <c r="F224" i="2"/>
  <c r="E228" i="2"/>
  <c r="N84" i="3"/>
  <c r="G84" i="3"/>
  <c r="V49" i="1"/>
  <c r="M87" i="1"/>
  <c r="I87" i="1"/>
  <c r="M125" i="1"/>
  <c r="I125" i="1"/>
  <c r="M145" i="1"/>
  <c r="I145" i="1"/>
  <c r="J444" i="1"/>
  <c r="N201" i="1"/>
  <c r="E193" i="1"/>
  <c r="N212" i="1"/>
  <c r="O194" i="1"/>
  <c r="M68" i="1"/>
  <c r="M82" i="1"/>
  <c r="N205" i="1"/>
  <c r="N210" i="1"/>
  <c r="G224" i="1"/>
  <c r="I213" i="2"/>
  <c r="M93" i="1"/>
  <c r="I93" i="1"/>
  <c r="E196" i="1"/>
  <c r="E194" i="1"/>
  <c r="E192" i="1"/>
  <c r="E198" i="1"/>
  <c r="E213" i="1"/>
  <c r="Q200" i="1" s="1"/>
  <c r="Q193" i="1"/>
  <c r="E191" i="1"/>
  <c r="N206" i="1"/>
  <c r="I211" i="1"/>
  <c r="H211" i="1"/>
  <c r="M96" i="1"/>
  <c r="I96" i="1"/>
  <c r="M27" i="1"/>
  <c r="G225" i="1"/>
  <c r="M112" i="1"/>
  <c r="I112" i="1"/>
  <c r="C169" i="1"/>
  <c r="C220" i="1" s="1"/>
  <c r="F220" i="1" s="1"/>
  <c r="I15" i="1"/>
  <c r="C221" i="1"/>
  <c r="F221" i="1" s="1"/>
  <c r="M91" i="1"/>
  <c r="I109" i="1"/>
  <c r="I113" i="1"/>
  <c r="X194" i="1"/>
  <c r="E195" i="1"/>
  <c r="F206" i="1"/>
  <c r="I208" i="1"/>
  <c r="P195" i="1" s="1"/>
  <c r="T195" i="1" s="1"/>
  <c r="H208" i="1"/>
  <c r="G212" i="1"/>
  <c r="N215" i="2"/>
  <c r="N226" i="2" s="1"/>
  <c r="I194" i="1"/>
  <c r="G207" i="1"/>
  <c r="N207" i="1"/>
  <c r="I196" i="1"/>
  <c r="G204" i="1"/>
  <c r="G206" i="1"/>
  <c r="E226" i="1"/>
  <c r="S230" i="1"/>
  <c r="S236" i="1"/>
  <c r="I71" i="3"/>
  <c r="E71" i="3"/>
  <c r="I209" i="1"/>
  <c r="P196" i="1" s="1"/>
  <c r="T196" i="1" s="1"/>
  <c r="E237" i="1"/>
  <c r="E235" i="1" s="1"/>
  <c r="G223" i="2"/>
  <c r="I212" i="2"/>
  <c r="N204" i="1"/>
  <c r="I205" i="1"/>
  <c r="P192" i="1" s="1"/>
  <c r="T192" i="1" s="1"/>
  <c r="J206" i="2"/>
  <c r="J212" i="2"/>
  <c r="X70" i="3"/>
  <c r="G85" i="3"/>
  <c r="T81" i="3"/>
  <c r="I193" i="1"/>
  <c r="I195" i="1"/>
  <c r="I197" i="1"/>
  <c r="N211" i="1"/>
  <c r="F208" i="1"/>
  <c r="G238" i="2"/>
  <c r="I178" i="2"/>
  <c r="G215" i="2"/>
  <c r="I210" i="2"/>
  <c r="D215" i="2"/>
  <c r="I72" i="3"/>
  <c r="S216" i="1"/>
  <c r="S220" i="1" s="1"/>
  <c r="S226" i="1"/>
  <c r="O209" i="2"/>
  <c r="E252" i="2"/>
  <c r="E250" i="2" s="1"/>
  <c r="G219" i="2"/>
  <c r="J210" i="2"/>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I70" i="3"/>
  <c r="E70" i="3"/>
  <c r="J75" i="3"/>
  <c r="V75" i="3" s="1"/>
  <c r="X75" i="3" s="1"/>
  <c r="I75" i="3"/>
  <c r="R113" i="3"/>
  <c r="R115" i="3" s="1"/>
  <c r="R112" i="3"/>
  <c r="I208" i="2"/>
  <c r="G221" i="2"/>
  <c r="O68" i="3"/>
  <c r="M61" i="3"/>
  <c r="M319" i="3"/>
  <c r="V68" i="3"/>
  <c r="D77" i="3"/>
  <c r="S102" i="3"/>
  <c r="S103" i="3"/>
  <c r="R236" i="1"/>
  <c r="R238" i="1" s="1"/>
  <c r="R235" i="1"/>
  <c r="R220" i="1" s="1"/>
  <c r="C235" i="2"/>
  <c r="F235" i="2" s="1"/>
  <c r="J214" i="2"/>
  <c r="I214" i="2"/>
  <c r="F226" i="2"/>
  <c r="I226" i="2" s="1"/>
  <c r="N81" i="3"/>
  <c r="X71" i="3"/>
  <c r="X72" i="3"/>
  <c r="I82" i="3"/>
  <c r="P69" i="3" s="1"/>
  <c r="T69" i="3" s="1"/>
  <c r="N83" i="3"/>
  <c r="G83" i="3"/>
  <c r="X74" i="3"/>
  <c r="F83" i="3"/>
  <c r="E90" i="3"/>
  <c r="Q77" i="3" s="1"/>
  <c r="Q70" i="3"/>
  <c r="F210" i="1"/>
  <c r="C234" i="2"/>
  <c r="F234" i="2" s="1"/>
  <c r="F207" i="2"/>
  <c r="F215" i="2" s="1"/>
  <c r="C237" i="2"/>
  <c r="F237" i="2" s="1"/>
  <c r="I237" i="2" s="1"/>
  <c r="H237" i="2" s="1"/>
  <c r="H206" i="2"/>
  <c r="I209" i="2"/>
  <c r="N82" i="3"/>
  <c r="X73" i="3"/>
  <c r="G87" i="3"/>
  <c r="J76" i="3"/>
  <c r="V76" i="3" s="1"/>
  <c r="X76" i="3" s="1"/>
  <c r="I76" i="3"/>
  <c r="L25" i="4"/>
  <c r="H25" i="4"/>
  <c r="N86" i="3"/>
  <c r="G86" i="3"/>
  <c r="E74" i="3"/>
  <c r="G101" i="3"/>
  <c r="G89" i="3"/>
  <c r="S113" i="3"/>
  <c r="H50" i="4"/>
  <c r="L50" i="4"/>
  <c r="G224" i="2"/>
  <c r="O72" i="3"/>
  <c r="E98" i="3"/>
  <c r="S72" i="3" s="1"/>
  <c r="N77" i="3"/>
  <c r="N88" i="3" s="1"/>
  <c r="R85" i="3"/>
  <c r="R97" i="3"/>
  <c r="E68" i="3"/>
  <c r="S93" i="3"/>
  <c r="S97" i="3" s="1"/>
  <c r="G100" i="3"/>
  <c r="L27" i="4"/>
  <c r="G97" i="3"/>
  <c r="L73" i="4" l="1"/>
  <c r="M191" i="2"/>
  <c r="M186" i="2"/>
  <c r="L70" i="4"/>
  <c r="O207" i="2"/>
  <c r="M457" i="2"/>
  <c r="N224" i="2"/>
  <c r="G240" i="2"/>
  <c r="P207" i="2"/>
  <c r="H220" i="2"/>
  <c r="O206" i="2"/>
  <c r="G234" i="2"/>
  <c r="I234" i="2" s="1"/>
  <c r="H234" i="2" s="1"/>
  <c r="G236" i="2"/>
  <c r="I236" i="2" s="1"/>
  <c r="I239" i="2"/>
  <c r="H239" i="2" s="1"/>
  <c r="C228" i="2"/>
  <c r="N219" i="2"/>
  <c r="C232" i="2"/>
  <c r="F232" i="2" s="1"/>
  <c r="H226" i="2"/>
  <c r="M184" i="2"/>
  <c r="N225" i="2"/>
  <c r="F228" i="2"/>
  <c r="S237" i="1"/>
  <c r="F237" i="1"/>
  <c r="F235" i="1" s="1"/>
  <c r="G217" i="1"/>
  <c r="O200" i="1"/>
  <c r="E214" i="2"/>
  <c r="E213" i="2"/>
  <c r="I85" i="3"/>
  <c r="P72" i="3" s="1"/>
  <c r="T72" i="3" s="1"/>
  <c r="G90" i="3"/>
  <c r="E211" i="2"/>
  <c r="I223" i="2"/>
  <c r="P210" i="2" s="1"/>
  <c r="S200" i="1"/>
  <c r="I207" i="1"/>
  <c r="P194" i="1" s="1"/>
  <c r="T194" i="1" s="1"/>
  <c r="I225" i="2"/>
  <c r="P212" i="2" s="1"/>
  <c r="O85" i="3"/>
  <c r="G98" i="3"/>
  <c r="E76" i="3"/>
  <c r="E75" i="3"/>
  <c r="E73" i="3"/>
  <c r="O78" i="3"/>
  <c r="M320" i="3"/>
  <c r="H222" i="2"/>
  <c r="G235" i="2"/>
  <c r="N223" i="2"/>
  <c r="H209" i="1"/>
  <c r="I206" i="1"/>
  <c r="P193" i="1" s="1"/>
  <c r="T193" i="1" s="1"/>
  <c r="C219" i="1"/>
  <c r="F219" i="1" s="1"/>
  <c r="H219" i="1" s="1"/>
  <c r="I221" i="1"/>
  <c r="R195" i="1" s="1"/>
  <c r="U195" i="1" s="1"/>
  <c r="I238" i="2"/>
  <c r="H238" i="2" s="1"/>
  <c r="M169" i="1"/>
  <c r="I227" i="2"/>
  <c r="H227" i="2" s="1"/>
  <c r="E210" i="2"/>
  <c r="E200" i="1"/>
  <c r="I87" i="3"/>
  <c r="P74" i="3" s="1"/>
  <c r="T74" i="3" s="1"/>
  <c r="H215" i="2"/>
  <c r="E208" i="2"/>
  <c r="E69" i="3"/>
  <c r="E77" i="3" s="1"/>
  <c r="F114" i="3"/>
  <c r="F112" i="3" s="1"/>
  <c r="O81" i="3"/>
  <c r="O77" i="3"/>
  <c r="S114" i="3"/>
  <c r="S115" i="3" s="1"/>
  <c r="G94" i="3"/>
  <c r="C61" i="3"/>
  <c r="G228" i="2"/>
  <c r="I219" i="2"/>
  <c r="H219" i="2" s="1"/>
  <c r="N216" i="2"/>
  <c r="E207" i="2"/>
  <c r="C240" i="2"/>
  <c r="F240" i="2" s="1"/>
  <c r="H205" i="1"/>
  <c r="G213" i="1"/>
  <c r="M442" i="1"/>
  <c r="G220" i="1"/>
  <c r="I224" i="2"/>
  <c r="P211" i="2" s="1"/>
  <c r="E103" i="3"/>
  <c r="I86" i="3"/>
  <c r="P73" i="3" s="1"/>
  <c r="T73" i="3" s="1"/>
  <c r="I210" i="1"/>
  <c r="P197" i="1" s="1"/>
  <c r="T197" i="1" s="1"/>
  <c r="I221" i="2"/>
  <c r="P208" i="2" s="1"/>
  <c r="C225" i="1"/>
  <c r="F225" i="1" s="1"/>
  <c r="I225" i="1" s="1"/>
  <c r="C217" i="1"/>
  <c r="H82" i="3"/>
  <c r="E209" i="2"/>
  <c r="N213" i="1"/>
  <c r="E212" i="2"/>
  <c r="E206" i="2"/>
  <c r="N220" i="2"/>
  <c r="N221" i="2"/>
  <c r="N222" i="2"/>
  <c r="N78" i="3"/>
  <c r="N87" i="3"/>
  <c r="N89" i="3"/>
  <c r="I89" i="3"/>
  <c r="H89" i="3"/>
  <c r="J207" i="2"/>
  <c r="I207" i="2"/>
  <c r="I83" i="3"/>
  <c r="P70" i="3" s="1"/>
  <c r="T70" i="3" s="1"/>
  <c r="E72" i="3"/>
  <c r="N85" i="3"/>
  <c r="N90" i="3" s="1"/>
  <c r="I206" i="2"/>
  <c r="S238" i="1"/>
  <c r="H212" i="1"/>
  <c r="I212" i="1"/>
  <c r="C224" i="1"/>
  <c r="F224" i="1" s="1"/>
  <c r="C223" i="1"/>
  <c r="F223" i="1" s="1"/>
  <c r="I223" i="1" s="1"/>
  <c r="R197" i="1" s="1"/>
  <c r="U197" i="1" s="1"/>
  <c r="C204" i="1"/>
  <c r="F192" i="1"/>
  <c r="C222" i="1"/>
  <c r="F222" i="1" s="1"/>
  <c r="H191" i="1"/>
  <c r="I84" i="3"/>
  <c r="P71" i="3" s="1"/>
  <c r="T71" i="3" s="1"/>
  <c r="N227" i="2"/>
  <c r="I219" i="1"/>
  <c r="R193" i="1" s="1"/>
  <c r="U193" i="1" s="1"/>
  <c r="C218" i="1"/>
  <c r="F218" i="1" s="1"/>
  <c r="I218" i="1" s="1"/>
  <c r="R192" i="1" s="1"/>
  <c r="U192" i="1" s="1"/>
  <c r="M188" i="2" l="1"/>
  <c r="F229" i="2"/>
  <c r="G233" i="2"/>
  <c r="I233" i="2" s="1"/>
  <c r="H233" i="2" s="1"/>
  <c r="H223" i="2"/>
  <c r="H236" i="2"/>
  <c r="F252" i="2"/>
  <c r="F250" i="2" s="1"/>
  <c r="G232" i="2"/>
  <c r="O215" i="2"/>
  <c r="O219" i="2" s="1"/>
  <c r="E216" i="2"/>
  <c r="N228" i="2"/>
  <c r="R199" i="1"/>
  <c r="U199" i="1" s="1"/>
  <c r="R198" i="1"/>
  <c r="U198" i="1" s="1"/>
  <c r="J192" i="1"/>
  <c r="F200" i="1"/>
  <c r="I192" i="1"/>
  <c r="I240" i="2"/>
  <c r="H240" i="2" s="1"/>
  <c r="C97" i="3"/>
  <c r="F97" i="3" s="1"/>
  <c r="F69" i="3"/>
  <c r="C99" i="3"/>
  <c r="F99" i="3" s="1"/>
  <c r="C102" i="3"/>
  <c r="F102" i="3" s="1"/>
  <c r="C101" i="3"/>
  <c r="F101" i="3" s="1"/>
  <c r="C95" i="3"/>
  <c r="F95" i="3" s="1"/>
  <c r="C94" i="3"/>
  <c r="C100" i="3"/>
  <c r="F100" i="3" s="1"/>
  <c r="C98" i="3"/>
  <c r="F98" i="3" s="1"/>
  <c r="I98" i="3" s="1"/>
  <c r="R72" i="3" s="1"/>
  <c r="U72" i="3" s="1"/>
  <c r="C96" i="3"/>
  <c r="F96" i="3" s="1"/>
  <c r="C81" i="3"/>
  <c r="H68" i="3"/>
  <c r="H218" i="1"/>
  <c r="O211" i="1"/>
  <c r="O208" i="1"/>
  <c r="O206" i="1"/>
  <c r="O212" i="1"/>
  <c r="O209" i="1"/>
  <c r="O210" i="1"/>
  <c r="O205" i="1"/>
  <c r="H84" i="3"/>
  <c r="H83" i="3"/>
  <c r="H221" i="2"/>
  <c r="C241" i="2"/>
  <c r="H224" i="2"/>
  <c r="G103" i="3"/>
  <c r="J215" i="2"/>
  <c r="H207" i="1"/>
  <c r="G226" i="1"/>
  <c r="M458" i="2"/>
  <c r="F241" i="2"/>
  <c r="E246" i="2" s="1"/>
  <c r="I220" i="1"/>
  <c r="R194" i="1" s="1"/>
  <c r="U194" i="1" s="1"/>
  <c r="H220" i="1"/>
  <c r="H200" i="1"/>
  <c r="W200" i="1" s="1"/>
  <c r="I191" i="1"/>
  <c r="W191" i="1"/>
  <c r="X191" i="1" s="1"/>
  <c r="P198" i="1"/>
  <c r="T198" i="1" s="1"/>
  <c r="P199" i="1"/>
  <c r="T199" i="1" s="1"/>
  <c r="E215" i="2"/>
  <c r="H86" i="3"/>
  <c r="O83" i="3"/>
  <c r="O84" i="3"/>
  <c r="O89" i="3"/>
  <c r="O82" i="3"/>
  <c r="O90" i="3" s="1"/>
  <c r="O87" i="3"/>
  <c r="O86" i="3"/>
  <c r="O88" i="3"/>
  <c r="P213" i="2"/>
  <c r="P214" i="2"/>
  <c r="H206" i="1"/>
  <c r="H225" i="2"/>
  <c r="O204" i="1"/>
  <c r="C213" i="1"/>
  <c r="F204" i="1"/>
  <c r="P76" i="3"/>
  <c r="T76" i="3" s="1"/>
  <c r="P75" i="3"/>
  <c r="T75" i="3" s="1"/>
  <c r="I235" i="2"/>
  <c r="H235" i="2" s="1"/>
  <c r="I222" i="1"/>
  <c r="R196" i="1" s="1"/>
  <c r="U196" i="1" s="1"/>
  <c r="H222" i="1"/>
  <c r="F217" i="1"/>
  <c r="F226" i="1" s="1"/>
  <c r="E231" i="1" s="1"/>
  <c r="C226" i="1"/>
  <c r="H225" i="1"/>
  <c r="I228" i="2"/>
  <c r="P206" i="2"/>
  <c r="H223" i="1"/>
  <c r="I224" i="1"/>
  <c r="H224" i="1" s="1"/>
  <c r="S77" i="3"/>
  <c r="O207" i="1"/>
  <c r="H87" i="3"/>
  <c r="O201" i="1"/>
  <c r="M443" i="1"/>
  <c r="H221" i="1"/>
  <c r="H85" i="3"/>
  <c r="H210" i="1"/>
  <c r="G241" i="2" l="1"/>
  <c r="O227" i="2"/>
  <c r="O223" i="2"/>
  <c r="O225" i="2"/>
  <c r="O220" i="2"/>
  <c r="O216" i="2"/>
  <c r="I232" i="2"/>
  <c r="H232" i="2" s="1"/>
  <c r="O222" i="2"/>
  <c r="O221" i="2"/>
  <c r="O226" i="2"/>
  <c r="O224" i="2"/>
  <c r="I100" i="3"/>
  <c r="R74" i="3" s="1"/>
  <c r="U74" i="3" s="1"/>
  <c r="J69" i="3"/>
  <c r="I69" i="3"/>
  <c r="F77" i="3"/>
  <c r="V192" i="1"/>
  <c r="X192" i="1" s="1"/>
  <c r="J200" i="1"/>
  <c r="V200" i="1" s="1"/>
  <c r="X200" i="1" s="1"/>
  <c r="I99" i="3"/>
  <c r="R73" i="3" s="1"/>
  <c r="U73" i="3" s="1"/>
  <c r="H99" i="3"/>
  <c r="B241" i="2"/>
  <c r="C246" i="2"/>
  <c r="F246" i="2" s="1"/>
  <c r="C103" i="3"/>
  <c r="F94" i="3"/>
  <c r="I97" i="3"/>
  <c r="R71" i="3" s="1"/>
  <c r="U71" i="3" s="1"/>
  <c r="H97" i="3"/>
  <c r="H98" i="3"/>
  <c r="H77" i="3"/>
  <c r="W77" i="3" s="1"/>
  <c r="W68" i="3"/>
  <c r="X68" i="3" s="1"/>
  <c r="I68" i="3"/>
  <c r="I95" i="3"/>
  <c r="R69" i="3" s="1"/>
  <c r="U69" i="3" s="1"/>
  <c r="C231" i="1"/>
  <c r="F231" i="1" s="1"/>
  <c r="B226" i="1"/>
  <c r="E201" i="1"/>
  <c r="I217" i="1"/>
  <c r="E229" i="2"/>
  <c r="P215" i="2"/>
  <c r="O213" i="1"/>
  <c r="C90" i="3"/>
  <c r="F81" i="3"/>
  <c r="I101" i="3"/>
  <c r="H101" i="3" s="1"/>
  <c r="F213" i="1"/>
  <c r="F214" i="1" s="1"/>
  <c r="I204" i="1"/>
  <c r="H204" i="1" s="1"/>
  <c r="H217" i="1"/>
  <c r="I96" i="3"/>
  <c r="R70" i="3" s="1"/>
  <c r="U70" i="3" s="1"/>
  <c r="I102" i="3"/>
  <c r="H102" i="3"/>
  <c r="O228" i="2" l="1"/>
  <c r="I241" i="2"/>
  <c r="E242" i="2" s="1"/>
  <c r="B103" i="3"/>
  <c r="E78" i="3"/>
  <c r="I213" i="1"/>
  <c r="P191" i="1"/>
  <c r="T191" i="1" s="1"/>
  <c r="V69" i="3"/>
  <c r="X69" i="3" s="1"/>
  <c r="J77" i="3"/>
  <c r="V77" i="3" s="1"/>
  <c r="X77" i="3" s="1"/>
  <c r="R76" i="3"/>
  <c r="U76" i="3" s="1"/>
  <c r="R75" i="3"/>
  <c r="U75" i="3" s="1"/>
  <c r="P216" i="2"/>
  <c r="H96" i="3"/>
  <c r="H95" i="3"/>
  <c r="H100" i="3"/>
  <c r="F90" i="3"/>
  <c r="F91" i="3" s="1"/>
  <c r="H81" i="3"/>
  <c r="I81" i="3"/>
  <c r="I226" i="1"/>
  <c r="R191" i="1"/>
  <c r="U191" i="1" s="1"/>
  <c r="F103" i="3"/>
  <c r="E108" i="3" s="1"/>
  <c r="I94" i="3"/>
  <c r="I242" i="2" l="1"/>
  <c r="I103" i="3"/>
  <c r="R68" i="3"/>
  <c r="U68" i="3" s="1"/>
  <c r="H94" i="3"/>
  <c r="P200" i="1"/>
  <c r="E214" i="1"/>
  <c r="I227" i="1"/>
  <c r="E227" i="1"/>
  <c r="R200" i="1"/>
  <c r="C108" i="3"/>
  <c r="F108" i="3" s="1"/>
  <c r="P68" i="3"/>
  <c r="T68" i="3" s="1"/>
  <c r="I90" i="3"/>
  <c r="P77" i="3" l="1"/>
  <c r="E91" i="3"/>
  <c r="P201" i="1"/>
  <c r="T200" i="1"/>
  <c r="R201" i="1"/>
  <c r="U200" i="1"/>
  <c r="E104" i="3"/>
  <c r="I104" i="3"/>
  <c r="R77" i="3"/>
  <c r="R78" i="3" l="1"/>
  <c r="U77" i="3"/>
  <c r="P78" i="3"/>
  <c r="T77" i="3"/>
</calcChain>
</file>

<file path=xl/comments1.xml><?xml version="1.0" encoding="utf-8"?>
<comments xmlns="http://schemas.openxmlformats.org/spreadsheetml/2006/main">
  <authors>
    <author/>
  </authors>
  <commentList>
    <comment ref="J126" authorId="0" shapeId="0">
      <text>
        <r>
          <rPr>
            <sz val="10"/>
            <rFont val="Arial"/>
            <family val="2"/>
            <charset val="238"/>
          </rPr>
          <t xml:space="preserve">User:
</t>
        </r>
        <r>
          <rPr>
            <sz val="12"/>
            <color rgb="FF000000"/>
            <rFont val="Tahoma"/>
            <family val="2"/>
            <charset val="1"/>
          </rPr>
          <t xml:space="preserve">doar Buc-Ploiesti este 3.393.812mii lei cf HG 737/2008
</t>
        </r>
      </text>
    </comment>
    <comment ref="M141" authorId="0" shapeId="0">
      <text>
        <r>
          <rPr>
            <sz val="10"/>
            <rFont val="Arial"/>
            <family val="2"/>
            <charset val="238"/>
          </rPr>
          <t xml:space="preserve">User:
</t>
        </r>
        <r>
          <rPr>
            <sz val="9"/>
            <color rgb="FF000000"/>
            <rFont val="Tahoma"/>
            <family val="2"/>
            <charset val="1"/>
          </rPr>
          <t xml:space="preserve">Executie + supervizare. Alesd Sud si Nord.
</t>
        </r>
      </text>
    </comment>
  </commentList>
</comments>
</file>

<file path=xl/comments2.xml><?xml version="1.0" encoding="utf-8"?>
<comments xmlns="http://schemas.openxmlformats.org/spreadsheetml/2006/main">
  <authors>
    <author/>
  </authors>
  <commentList>
    <comment ref="B52" authorId="0" shapeId="0">
      <text>
        <r>
          <rPr>
            <sz val="10"/>
            <rFont val="Arial"/>
            <family val="2"/>
            <charset val="238"/>
          </rPr>
          <t xml:space="preserve">MARIN, Florina:
</t>
        </r>
        <r>
          <rPr>
            <sz val="26"/>
            <color rgb="FF000000"/>
            <rFont val="Tahoma"/>
            <family val="2"/>
            <charset val="238"/>
          </rPr>
          <t>etapa I este inclusa , iar etapa II este pe aceiasi fisa 1517, propusa a proiectul de buget pe anul 2024</t>
        </r>
      </text>
    </comment>
    <comment ref="M106" authorId="0" shapeId="0">
      <text>
        <r>
          <rPr>
            <sz val="10"/>
            <rFont val="Arial"/>
            <family val="2"/>
            <charset val="238"/>
          </rPr>
          <t xml:space="preserve">User:
</t>
        </r>
        <r>
          <rPr>
            <sz val="9"/>
            <color rgb="FF000000"/>
            <rFont val="Tahoma"/>
            <family val="2"/>
            <charset val="1"/>
          </rPr>
          <t xml:space="preserve">Executie + supervizare. Alesd Sud si Nord.
</t>
        </r>
      </text>
    </comment>
    <comment ref="P175" authorId="0" shapeId="0">
      <text>
        <r>
          <rPr>
            <sz val="10"/>
            <rFont val="Arial"/>
            <family val="2"/>
            <charset val="238"/>
          </rPr>
          <t xml:space="preserve">Ana Maria Șerban:
</t>
        </r>
        <r>
          <rPr>
            <sz val="9"/>
            <color rgb="FF000000"/>
            <rFont val="Tahoma"/>
            <family val="2"/>
            <charset val="1"/>
          </rPr>
          <t>acelasi lucru a fost trecut si anul trecut la prioritizare. Cred ca nu mai tb mentinuta</t>
        </r>
      </text>
    </comment>
  </commentList>
</comments>
</file>

<file path=xl/comments3.xml><?xml version="1.0" encoding="utf-8"?>
<comments xmlns="http://schemas.openxmlformats.org/spreadsheetml/2006/main">
  <authors>
    <author/>
  </authors>
  <commentList>
    <comment ref="E19" authorId="0" shapeId="0">
      <text>
        <r>
          <rPr>
            <sz val="11"/>
            <color rgb="FF000000"/>
            <rFont val="Calibri"/>
            <family val="2"/>
            <charset val="238"/>
          </rPr>
          <t>Cod fisa PIP : 1125</t>
        </r>
      </text>
    </comment>
    <comment ref="K19" authorId="0" shapeId="0">
      <text>
        <r>
          <rPr>
            <sz val="10"/>
            <rFont val="Arial"/>
            <family val="2"/>
            <charset val="238"/>
          </rPr>
          <t xml:space="preserve"> </t>
        </r>
      </text>
    </comment>
  </commentList>
</comments>
</file>

<file path=xl/comments4.xml><?xml version="1.0" encoding="utf-8"?>
<comments xmlns="http://schemas.openxmlformats.org/spreadsheetml/2006/main">
  <authors>
    <author/>
  </authors>
  <commentList>
    <comment ref="G50" authorId="0" shapeId="0">
      <text>
        <r>
          <rPr>
            <sz val="10"/>
            <rFont val="Arial"/>
            <family val="2"/>
            <charset val="238"/>
          </rPr>
          <t xml:space="preserve">Mihai:
</t>
        </r>
        <r>
          <rPr>
            <sz val="9"/>
            <color rgb="FF000000"/>
            <rFont val="Tahoma"/>
            <family val="2"/>
            <charset val="1"/>
          </rPr>
          <t>era ok</t>
        </r>
      </text>
    </comment>
    <comment ref="K58" authorId="0" shapeId="0">
      <text>
        <r>
          <rPr>
            <sz val="10"/>
            <rFont val="Arial"/>
            <family val="2"/>
            <charset val="238"/>
          </rPr>
          <t xml:space="preserve">Windows User:
</t>
        </r>
        <r>
          <rPr>
            <sz val="9"/>
            <color rgb="FF000000"/>
            <rFont val="Tahoma"/>
            <family val="2"/>
            <charset val="1"/>
          </rPr>
          <t>164273</t>
        </r>
      </text>
    </comment>
  </commentList>
</comments>
</file>

<file path=xl/sharedStrings.xml><?xml version="1.0" encoding="utf-8"?>
<sst xmlns="http://schemas.openxmlformats.org/spreadsheetml/2006/main" count="3003" uniqueCount="823">
  <si>
    <t>Anexa 1 la memorandum</t>
  </si>
  <si>
    <t>LISTA</t>
  </si>
  <si>
    <t>proiectelor de investiţii publice semnificative prioritizate</t>
  </si>
  <si>
    <t>Nr. crt.</t>
  </si>
  <si>
    <t>Denumirea proiectului de investiţii semnificativ</t>
  </si>
  <si>
    <t>OPC</t>
  </si>
  <si>
    <t>Beneficiar</t>
  </si>
  <si>
    <t>PC / PN</t>
  </si>
  <si>
    <t>Cod fişă</t>
  </si>
  <si>
    <t>Punctaj ordonator principal de credite</t>
  </si>
  <si>
    <t>Stadiu fizic
 (%)</t>
  </si>
  <si>
    <t>Stadiu valoric (%)</t>
  </si>
  <si>
    <t>Valoarea actualizată a proiectului
-mii lei-</t>
  </si>
  <si>
    <t>Cheltuieli efectuate pana la 31.12.2022</t>
  </si>
  <si>
    <t>Cheltuieli estimate pentru anul curent 2023 (mii lei)</t>
  </si>
  <si>
    <t>Rest de finanţat până la finalizarea proiectului 
-mii lei-</t>
  </si>
  <si>
    <t>Termenul de finalizare a proiectului</t>
  </si>
  <si>
    <t>Alte informații</t>
  </si>
  <si>
    <t>Indicatori eficienţă economică (euro / %)</t>
  </si>
  <si>
    <t>Observații (comunicate de ordonatorii principali de credite)</t>
  </si>
  <si>
    <t>Reducerea Eroziunii Costiere Faza II (2014-2020)</t>
  </si>
  <si>
    <t>MMAP</t>
  </si>
  <si>
    <t>ANAR</t>
  </si>
  <si>
    <t>PC</t>
  </si>
  <si>
    <t>2026</t>
  </si>
  <si>
    <t>Proiectul  se va faza pentru finantare din fonduri externe nerambursabile</t>
  </si>
  <si>
    <t>Sediu nou pentru Spitalul de Urgență al MAI „Prof. dr. Dimitrie Gerota”</t>
  </si>
  <si>
    <t>MAI</t>
  </si>
  <si>
    <t>Spitalul de Urgență  „Prof. dr. Dimitrie Gerota”</t>
  </si>
  <si>
    <t>PN</t>
  </si>
  <si>
    <t>NU E IN PIP</t>
  </si>
  <si>
    <t>Cheltuielile efectuate până la 31.12.2022 reprezintă contravaloarea studiului de fezabilitate aferent investiției. Demersurile pentru introducerea în Programul de investiții vor fi inițiate după rectificarea bugetară aferentă anului în curs</t>
  </si>
  <si>
    <t>Reducerea riscului la inundatii a municipiului Tecuci, judetul Galati</t>
  </si>
  <si>
    <t>ANAR-ABA-PRUT-Barlad</t>
  </si>
  <si>
    <t xml:space="preserve"> Modernizarea infrastructurii de monitorizare şi avertizare a fenomenelor hidro-meteorologice severe în vederea asigurării protecţiei vieţii şi a bunurilor materiale - INFRAMETEO</t>
  </si>
  <si>
    <t xml:space="preserve">Administrația
 Națională de Meteorologie </t>
  </si>
  <si>
    <t>Proiectul  se va faza pentru finantare din fonduri externe nerambursabile. Prin adresa
 nr SGA GIB /54539/2023 s-a solicitat către Ministerul Finanțelor actualizarea cheltuielilor preliminate pe anul 2022 la nivelul monitorizarii la data de 31.12.2022 în Programul de Investiții Publice (P.I.P.) pentru fișă 1437. 0</t>
  </si>
  <si>
    <t>Sistem integrat pentru interventia la dezastre, urgente si crize</t>
  </si>
  <si>
    <t>SPP</t>
  </si>
  <si>
    <t>decembrie 2023</t>
  </si>
  <si>
    <t>Construire Terminal Plecari Curse Externe</t>
  </si>
  <si>
    <t>MTI</t>
  </si>
  <si>
    <t xml:space="preserve">S.N.  Aeroportul Internațional Timișoara ”Traian Vuia” S.A. </t>
  </si>
  <si>
    <t>31.12.2023</t>
  </si>
  <si>
    <t xml:space="preserve">Valoarea aprobată/actualizată a proiectului este de 184.506 mii lei, din  care, valoarea de 131.206 mii lei reprezintă finanțarea FN (fonduri naționale) + FEN (fonduri externe nerambursabile) + CN (cheltuieli neeligibile - TVA aferent cotei eligibile - FN + FEN). Suma de 131.206 mii lei se regăsește în Formularul 29.
Diferența dintre 184.506 mii lei și 131.206 mii lei, adică suma de 53.300 mii lei reprezintă partea de contribuție a Aeroportului Internațional Timișoara „Traian Vuia”.
</t>
  </si>
  <si>
    <t>Dezvoltare terminal, turn de control si parcare la AIMKC</t>
  </si>
  <si>
    <t>AIMKC</t>
  </si>
  <si>
    <t>Sistem integrat de securitate aeroportuară</t>
  </si>
  <si>
    <t>Amenajare complexă râu Bârzava și afluenți pe sector Bocșa - Gătaia – Denta, județul Caras-Severin și județul Timiș</t>
  </si>
  <si>
    <t>Deoarece proiectul nu a obtinut finantare din fonduri externe nerambursabile in anul 2023 s-au alocat resurse financiare din venituri proprii ANAR  pentru procedura de expropriere terenuri. Urmeaza sa se etapizeze proiectul pentru asigurare finantare din venituri proprii ANAR si buget de stat</t>
  </si>
  <si>
    <t>Reabilitarea și modernizarea infrastructurii de transport naval în porturile din afara rețelei TEN-T - Port Corabia, HG nr. 285/2021, finanțare POIM 2014 - 2020, titlul 58</t>
  </si>
  <si>
    <t>NAVAL</t>
  </si>
  <si>
    <t>2024</t>
  </si>
  <si>
    <t>Varianta de ocolire a municipiului Zalău, etapa 2, între DN1F, km 79+625 - DJ 191C</t>
  </si>
  <si>
    <t>CNAIR</t>
  </si>
  <si>
    <t>nov 2023</t>
  </si>
  <si>
    <t>Extreme Light Infrastructure - Nuclear Physics (ELI-NP)</t>
  </si>
  <si>
    <t>MCID</t>
  </si>
  <si>
    <t>Potrivit HG 1434/2022 durata de realizare a investitiei-rest de executat  este de 39 luni( 31.03.2026) , iar valoarea rest de executat este de 141.982 mii lei.Potrivit anexei 2 transmisa in anul 2022,cheltuielile efectuate pana la 31.12.2021 au fost de 1.642.556 lei,stadiu valoric fiind de 94,41%.Insa in anul 2016 IFIN-HH a restituit suma de 85.889.913,16 lei in contul 85 ,,Finantare din anii precedenti”,avand in vedere ca s-a schimbat etapa de programare si clasificatia bugetară. Suma mentionată in col 10 Cheltuieli efectuate pana la 31decembrie nu a fost diminuata ,avand in vedere unele probleme tehnice respectiv falimentul firmei care trebuia sa realizeze Sistemul gama .Ca urmare la propunerea de buget pentru anul 2023 s-a luat in calcul diminuarea cheltuielilor efectuate si actualizarea necesarului de finantare pentru anii 2023-2026 potrivit HG 1434/2022. Valoarea totala a investitiei rămâne neschimbată.</t>
  </si>
  <si>
    <t>Interconectarea clădirilor existente și construcție nouă în incinta Spitalului Clinic Județean de Urgență «Pius Brânzeu» Timișoara în vederea reorganizării circuitelor medicale pentru departamentele: Unitate Primiri Urgențe (UPU), Chirurgie, Anestezie și Terapie Intensivă (ATI) și Centru de Mari Arși</t>
  </si>
  <si>
    <t>MS</t>
  </si>
  <si>
    <t>Spitalul Clinic Județean de Urgență «Pius Brânzeu» Timișoara</t>
  </si>
  <si>
    <t>Cheltuielile efectuate pana la 31.12.2021 se refera la platile catre proiectant si verificatorii de proiecte</t>
  </si>
  <si>
    <t>Construirea unui centru de arşi şi reorganizarea fluxurilor medicale ale spitalului pentru o mai bună poziţionare şi conectare a Departamentelor Urgenţă, ATI şi chirurgie pentru Spitalul Clinic de Urgenţă pentru Copii «Grigore Alexandrescu» Bucureşti</t>
  </si>
  <si>
    <t>Spitalul Clinic de Urgenţă pentru Copii «Grigore Alexandrescu» Bucureşti"</t>
  </si>
  <si>
    <t>Spital Regional de Urgenţă Craiova</t>
  </si>
  <si>
    <t>2027</t>
  </si>
  <si>
    <r>
      <rPr>
        <sz val="12"/>
        <rFont val="Times New Roman"/>
        <family val="1"/>
        <charset val="1"/>
      </rPr>
      <t xml:space="preserve">Valoarea reală a proiectului este valoarea aprobată prin HG 786/2019 din care s-a scăzut valoarea studiului de fezabilitate, care a fost achitată din surse fără impact asupra bugetului, conform unui Acord încheiat în 2016 între România și Uniunea Europeană, și anume </t>
    </r>
    <r>
      <rPr>
        <b/>
        <sz val="12"/>
        <rFont val="Times New Roman"/>
        <family val="1"/>
        <charset val="1"/>
      </rPr>
      <t>2847126</t>
    </r>
    <r>
      <rPr>
        <sz val="12"/>
        <rFont val="Times New Roman"/>
        <family val="1"/>
        <charset val="1"/>
      </rPr>
      <t xml:space="preserve"> mii lei.</t>
    </r>
  </si>
  <si>
    <t>Spital Regional de Urgenţă Cluj</t>
  </si>
  <si>
    <r>
      <rPr>
        <sz val="12"/>
        <rFont val="Times New Roman"/>
        <family val="1"/>
        <charset val="1"/>
      </rPr>
      <t xml:space="preserve">Valoarea reală a proiectului este valoarea aprobată prin HG 667/2019 din care s-a scăzut valoarea studiului de fezabilitate, care a fost achitată din surse fără impact asupra bugetului, conform unui Acord încheiat în 2016 între România și Uniunea Europeană, și anume </t>
    </r>
    <r>
      <rPr>
        <b/>
        <sz val="12"/>
        <rFont val="Times New Roman"/>
        <family val="1"/>
        <charset val="1"/>
      </rPr>
      <t>2565357</t>
    </r>
    <r>
      <rPr>
        <sz val="12"/>
        <rFont val="Times New Roman"/>
        <family val="1"/>
        <charset val="1"/>
      </rPr>
      <t xml:space="preserve"> mii lei.</t>
    </r>
  </si>
  <si>
    <t xml:space="preserve">Spital Regional de Urgență Iași </t>
  </si>
  <si>
    <r>
      <rPr>
        <sz val="12"/>
        <rFont val="Times New Roman"/>
        <family val="1"/>
        <charset val="1"/>
      </rPr>
      <t xml:space="preserve">Valoarea reală a proiectului este valoarea aprobată prin HG 290/2019 din care s-a scăzut valoarea studiului de fezabilitate, care a fost achitată din surse fără impact asupra bugetului, conform unui Acord încheiat în 2016 între România și Uniunea Europeană, și anume  </t>
    </r>
    <r>
      <rPr>
        <b/>
        <sz val="12"/>
        <rFont val="Times New Roman"/>
        <family val="1"/>
        <charset val="1"/>
      </rPr>
      <t>2379575</t>
    </r>
    <r>
      <rPr>
        <sz val="12"/>
        <rFont val="Times New Roman"/>
        <family val="1"/>
        <charset val="1"/>
      </rPr>
      <t xml:space="preserve"> mii lei.</t>
    </r>
  </si>
  <si>
    <t>Varianta de ocolire Arad Est</t>
  </si>
  <si>
    <t>Autostrada Buzău-Focșani</t>
  </si>
  <si>
    <t>2025</t>
  </si>
  <si>
    <t>Decembrie 2025</t>
  </si>
  <si>
    <t>PNRR</t>
  </si>
  <si>
    <t>MPGT</t>
  </si>
  <si>
    <t>Autostrada Bacău-Pașcani</t>
  </si>
  <si>
    <t>Autostrada Focșani - Bacău</t>
  </si>
  <si>
    <t>Autostrada Sibiu Fagaras</t>
  </si>
  <si>
    <t>POT</t>
  </si>
  <si>
    <t>Drum expres pentru realizarea conexiunii dintre Autostrada A3 (zona Turda) şi
  Drum Naţional DN 1(zona Tureni)</t>
  </si>
  <si>
    <t>Drum de legătură între municipiul Oradea și comuna Sânmartin  județul Bihor</t>
  </si>
  <si>
    <t>POIM</t>
  </si>
  <si>
    <t>Varianta de ocolire a Municipiului Reghin</t>
  </si>
  <si>
    <t>Varianta de ocolire Vaslui</t>
  </si>
  <si>
    <t>Drum Expres Conexiune Satu Mare (VO Satu Mare)-Oar (Granița Româno-Ungară–
 Drum Expres M49 Ungaria)</t>
  </si>
  <si>
    <t>Autostrada Târgu Mureș -Târgu Neamț: Secțiunea I:  Târgu Mureș - Miercurea Nirajului - km 0+000 - km 22+000  și legătura la Autostrada A3 (2,4km)</t>
  </si>
  <si>
    <t>nu a intrat in 
LBS</t>
  </si>
  <si>
    <t>409 074.979</t>
  </si>
  <si>
    <t>Autostrada Târgu Mureș – Târgu Neamț  „Secțiunea III: Leghin - Târgu Neamț  
km 181+195 (89+000) - km 211+107 (118+912)”</t>
  </si>
  <si>
    <t>nu a intrat in LBS</t>
  </si>
  <si>
    <t>Acces Rutier Complementar Descarcare A3-Azuga-Busteni</t>
  </si>
  <si>
    <t>Acces Rutier Complementar Descarcare A3 Comarnic</t>
  </si>
  <si>
    <t>Drum Transregio Feleac TR 35 Etapa I Centura Metropolitană  TR 35  și
Drumuri de Legătură’’</t>
  </si>
  <si>
    <t>Pod peste Prut la Ungheni</t>
  </si>
  <si>
    <t>?</t>
  </si>
  <si>
    <t>Realizare pasaj rutier la intersectia DN 1 cu DN 73A (Predeal)</t>
  </si>
  <si>
    <t>Rețeaua de infrastructură integrată pentru zona orbitală București - Lărgire la 4 benzi DN 1A și măsuri de siguranță rutieră pentru sectorul cuprins între Centura București și intersecția cu șoseaua Chitila – Mogoșoaia</t>
  </si>
  <si>
    <t>Electrificarea şi reabilitarea liniei de cale ferată Cluj-Napoca-Oradea-Episcopia Bihor
(finantat din PNRR - titlul 60 Proiecte cu finantare din sumele reprezentand asistenta financiara nerambursabila aferenta PNRR)</t>
  </si>
  <si>
    <t>CFR</t>
  </si>
  <si>
    <t>Procentul de 2,27% reprezinta avansul acordat in cadrul contractelor de lucrari semnate si valoarea HG de exproprieri</t>
  </si>
  <si>
    <t>Modernizarea linie CF Bucureşti Nord-Jilava-Giurgiu Nord-Giurgiu Nord Frontieră"-Lotul 1: Redeschiderea circulaţiei feroviare pe pod, peste râul Argeş între Vidra şi Comana</t>
  </si>
  <si>
    <t>2023</t>
  </si>
  <si>
    <t>Necesarul de finantare pentru anul 2023 este in valoare totala de 365.831 mii lei care va fi solicitat cu ocazia primei rectificari bugetare.</t>
  </si>
  <si>
    <t xml:space="preserve">Extindere si etajare, conversie functionala  Academia de Muzica, Mun Cluj Napoca, jud. Cluj </t>
  </si>
  <si>
    <t>MDLPA</t>
  </si>
  <si>
    <t>MDLPA prin C.N.I. S.A. pe perioada realizării investiței U.A.T. Cluj dupa finalizare</t>
  </si>
  <si>
    <t>in executie</t>
  </si>
  <si>
    <t>Reabilitare si Extindere Asezamant Spitalicesc PRECISTA''</t>
  </si>
  <si>
    <t>C.N.I. S.A.  pe perioada realizării investiței; Arhiepiscopia Romanului si Bacaului,  dupa realizarea investitiei</t>
  </si>
  <si>
    <t>În execuție</t>
  </si>
  <si>
    <t>„Construire cămin studențesc - Universitatea din București, Splaiul Independenței nr. 204, sector 6, municipiul București”</t>
  </si>
  <si>
    <t>C.N.I. S.A.    pe perioada realizării investiței, Universitatea Bucuresti  -  dupa finalizare</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</si>
  <si>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t>
  </si>
  <si>
    <t>„Pavilion deținere 500 locuri – Construire, municipiul Bistrița, jud. Bistrița Năsăud</t>
  </si>
  <si>
    <t>C.N.I. S.A.    pe perioada realizării investiței, Penitenciarul Bistrita -  dupa finalizare</t>
  </si>
  <si>
    <t>„Construire patinoar artificial, municipiul Sfântu Gheorghe, județ Covasna”</t>
  </si>
  <si>
    <t>C.N.I. S.A.    pe perioada realizării investiței U.A.T. Sf. Gheorghe Covasna -  dupa finalizare</t>
  </si>
  <si>
    <t>Estimarea cheltuielilor s-a facut tinand cont de faptul ca procedura de achizitie a contractului de proiectare si executie aferenta obiectivului de investitii se afla in curs de inițiere. Astfel, in estimarea cheltuielilor si a termenului de finalizare au fost luate in calcul termenele legale privind finalizarea procedurii de achizitie publica, fara eventuale contestatii al caror termen nu poate fi cuantificat in aceasta etapa.</t>
  </si>
  <si>
    <t>„Construire stadion "Gheorghe Hagi", Str. Primăverii, nr. 2-11, municipiul Constanța, județul Constanța”</t>
  </si>
  <si>
    <t>C.N.I. S.A.    pe perioada realizării investiței U.A.T. Constanta - dupa finalizare</t>
  </si>
  <si>
    <t>“Complexuri sportive” obiectivul de investiții „Construire Stadion "Nicolae Dobrin", Str. Nicolae Dobrin, nr. 10, municipiul Pitești, jud. Argeș”</t>
  </si>
  <si>
    <t>C.N.I. S.A.    pe perioada realizării investiței U.A.T. Pitesti - dupa finalizare</t>
  </si>
  <si>
    <t>Consolidare și restaurare Cazino Constanța</t>
  </si>
  <si>
    <t>MDLPA prin C.N.I. S.A. pe perioada realizării investiței, respectiv UAT Constanța dupa finalizare</t>
  </si>
  <si>
    <t>Pod peste Tisa in zona Teplița din Sighetul Marmației</t>
  </si>
  <si>
    <t>Construirea unui centru de arși și reorganizarea fluxurilor medicale ale spitalului pentru o mai bună poziționare și conectare a Departamentelor Urgență, ATI și chirurgie pentru Spitalul Clinic Județean de Urgență Târgu Mureș</t>
  </si>
  <si>
    <t>Spitalul clinic județean de urgență Tg. Mureș</t>
  </si>
  <si>
    <t xml:space="preserve">Valoarea reală a proiectului este valoarea aprobată prin HG 799/2021 din care s-a scăzut valoarea etapelor de proiectare (tema de proiectare, studiu de prefeabilitate, studiu de fezabilitate), achitate din fondurile proiectului BIRD 8362RO aprobat prin Legea nr. 179/2014. </t>
  </si>
  <si>
    <t>Dezvoltare Port Tulcea - Etapa I (HG nr. 142/24.02.2020; HG nr. 424/12.05.2023) - POIM</t>
  </si>
  <si>
    <t xml:space="preserve"> Se va solicita rectificarea bugetului pe anul 2023</t>
  </si>
  <si>
    <t>Amenajare dane RO- RO - Port Bazinul Nou Galati (HG 1211/2022) POIM</t>
  </si>
  <si>
    <t>Extinderea la 4 benzi a drumului dintre Poarta 7 și joncțiunea cu obiectivul "Pod rutier CDMN" cu drumul care realizează legătura între poarta 9 și poarta 8 spre zona de nord a Portului Constanța</t>
  </si>
  <si>
    <t>Modernizarea infrastructurii de distribuție a energiei electrice în Portul Constanța; HG nr. 413 /2021, finanțare POIM 2014 - 2020, titlul 58</t>
  </si>
  <si>
    <t>Obiectivul de investitii beneficiază si de cofinantare din surse proprii CN APM SA Constanta, in coloanele 10 - 12 fiind cuprinse doar sumele alocate de la Bugetul de Stat.</t>
  </si>
  <si>
    <t>Recompartimentare clădire existenta și extindere cu un corp nou - Sectia clinica Neurochirurgie - Centru de Patologie Vasculo-Cerebrala și Neurochirurgie</t>
  </si>
  <si>
    <t>Spitalul clinic județean de urgență Cluj Napoca</t>
  </si>
  <si>
    <t>-</t>
  </si>
  <si>
    <t>Cheltuielile efectuate în anul precedent și cele estimate pe anul acesta sunt din fonduri de la Consiliul Județean Cluj</t>
  </si>
  <si>
    <t>Port Brăila - lucrări de infrastructură portuară a sectorului portuar al frontului de operare la Dunăre, adiacent molului (Finanțat din titlul 58, POIM, HG nr. 692/2022)</t>
  </si>
  <si>
    <t xml:space="preserve"> Se va solicita rectificarea bugetului pe anul 2023 </t>
  </si>
  <si>
    <t>Reabilitarea liniei de de cale ferata Braşov – Simeria, componentă a Coridorului IV Pan-European, pentru circulaţia trenurilor cu viteză maximă de 160 km/h, sectiunea Sighișoara - Coşlariu (Finanțat din titlul 56.03 - Programe din FC și din titlul 58.03 - Programe din FC)</t>
  </si>
  <si>
    <t>Au fost efectuate receptii la terminare pe loturile de lucrari civile, infrastructura si suprastructura. Sunt in derulare lucrari la lotul de ERTMS și litigii in curs.</t>
  </si>
  <si>
    <t>Reabilitarea liniei de c.f. Brasov- Simeria, componentă a Coridorului IV Pan – European pentru circulaţia trenurilor cu viteza maximă de 160 km/h, sectiunea Coslariu - Simeria (Finanțat din titlul 56.03 - Programe din FC și din titlul 58.03 - Programe din FC)</t>
  </si>
  <si>
    <t>Au fost efectuate receptii la terminare pe loturile de lucrari de infrastructura, suprastructura si lucrari civile dupa cum umreaza: 
Lot Vintu de Jos - Coslariu- iun 2021
Lot Simeria - Vintu de Jos - oct 2020
Cele doua loturi sunt in perioada de notificare a defectelor.
Mai sunt de finalizat lucrarile/testarile aferente Lot ERTMS, se estimează efectuarea recepțiilor la terminare pentru Lot ERTMS in 2023.
Mai sunt litigii pe rol in cadrul proiectului
Lucrarile sunt finantate prin POIM 2014-2020 din Fondul de Coeziune</t>
  </si>
  <si>
    <t>Reabilitarea liniei de cale ferată Braşov-Simeria, componentă a Coridorului Rin - Dunăre, pentru circulaţia trenurilor cu viteza maximă de 160 km/h, tronsonul Braşov – Sighişoara
Finantat din fonduri CEF și buget de stat</t>
  </si>
  <si>
    <t>1265
(14116)</t>
  </si>
  <si>
    <t>Necesarul de finantare pentru anul 2023 este in valoare totala de 945.724 mii lei care va fi solicitat cu ocazia primei rectificari bugetare.</t>
  </si>
  <si>
    <r>
      <rPr>
        <sz val="12"/>
        <rFont val="Arial"/>
        <family val="2"/>
        <charset val="1"/>
      </rPr>
      <t xml:space="preserve">Modernizarea liniei feroviare Caransebes-Timisoara-Arad
</t>
    </r>
    <r>
      <rPr>
        <b/>
        <sz val="12"/>
        <rFont val="Arial"/>
        <family val="2"/>
        <charset val="238"/>
      </rPr>
      <t xml:space="preserve">
</t>
    </r>
    <r>
      <rPr>
        <i/>
        <sz val="12"/>
        <rFont val="Arial"/>
        <family val="2"/>
        <charset val="238"/>
      </rPr>
      <t>(finantat din PNRR si buget de stat prin bugetul MIPE  si din POIM 2014-2020 de la titlul 58.03-Programe din Fondul de Coeziune)</t>
    </r>
  </si>
  <si>
    <t>Procentul de 1,84% reprezinta avansul acordat in cadrul contractelor de lucrari semnate si valoarea HG de exproprieri</t>
  </si>
  <si>
    <t>Complex Multifunctional Sala Polivalenta Brasov, Municipiul Brasov, judet Brasov</t>
  </si>
  <si>
    <t>MDLPA prin C.N.I. S.A. pe perioada realizării investiței, respectiv U.A.T. Municipiul  Brasov dupa finalizare</t>
  </si>
  <si>
    <t xml:space="preserve">Reabilitarea liniei de cale ferată Bucuresti-Constanta, componentă a Coridorului IV Pan-European pentru viteza de maxim de 160 km/h - Lucrari in statiile c.f. Fetesti si Ciulnita, de pe linia de cale ferata Bucuresti-Constanta
</t>
  </si>
  <si>
    <t>Reabilitarea a 10 poduri importante/ strategice in zona Dobrogea- Reabilitarea Podului de la Borcea, A2, km 149+680</t>
  </si>
  <si>
    <t>Estimat RTL 26.10.2023</t>
  </si>
  <si>
    <t>Construire camin studentesc  Universitatea de Vest din Timisoara, Str. Renasterii nr. 24B, municipiul Timisoara, judetul Timis</t>
  </si>
  <si>
    <t>MDLPA prin C.N.I. S.A. pe perioada realizării investiței, respectiv Universitatea de Vest din Timisoara dupa finalizarea investitiei</t>
  </si>
  <si>
    <t>Modernizarea și dezvoltarea Portului Mineralier Galați (Finanțat din titlul 58, POIM, HG nr. 307/2023)</t>
  </si>
  <si>
    <t>Bugetul necesar în anul 2023 este de 62.120 mii lei</t>
  </si>
  <si>
    <t>DANUBE - Rețea de acces la Dunăre  - Deblocarea circulației în Europa prin dezvoltarea în România a unei infrastructuri de porturi TEN-T de înaltă calitate în condiții economice optime - Port Giurgiu, HG nr. 284/2021, finanțare POIM 2014 - 2020, titlul 58</t>
  </si>
  <si>
    <t>Sala Polivalenta 5000 locuri, municipiul Suceava, județul Suceava</t>
  </si>
  <si>
    <t>MDLPA prin C.N.I. S.A. pe perioada realizării investiței, respectiv U.A.T. Suceava dupa finalizare</t>
  </si>
  <si>
    <t>Amenajarea complexă a râului Jiu în vederea apărării împotriva inundațiilor a municipiului Craiova</t>
  </si>
  <si>
    <t>Se va asigura finantarea necesară pentru finalizarea investiției  în anul 2023</t>
  </si>
  <si>
    <t>Construire Cămin Studenţesc Universitatea "Ştefan cel Mare" din Suceava, str. Staţiunii nr. 130, satul Bulai, comuna Moara, judeţul Suceava</t>
  </si>
  <si>
    <t>MDLPA prin C.N.I. S.A. pe perioada realizării investiței, respectiv Univeristatea Ștefan cel Mare după finalizare</t>
  </si>
  <si>
    <t>În proiectare, în curs de obținere autorizație de construire.</t>
  </si>
  <si>
    <t>Reabilitare, consolidare, modernizare, extindere si dotare a sediului istoric al Academiei Romane si Construire Corp nou - Aula , Sector 1, Bucuresti.</t>
  </si>
  <si>
    <t>MDLPA prin C.N.I. S.A. pe perioada realizării investiței, respectiv Academia Română după finalizare</t>
  </si>
  <si>
    <t>În proiectare, în curs de obținere avize și autorizație de construire.</t>
  </si>
  <si>
    <t>Construire centru sportiv si de recreere - str. Sportului, nr.2,  Municipiul. Salonta, județul Bihor</t>
  </si>
  <si>
    <t>MDLPA prin C.N.I. S.A. pe perioada realizării investiței, respectiv UAT Salonta după finalizare</t>
  </si>
  <si>
    <t xml:space="preserve">Construire corpuri de cladire Universitatea de Medicina si Farmacie “Victor Babes” Timisoara, jud. Timis
</t>
  </si>
  <si>
    <t>MDLPA prin C.N.I. S.A. pe perioada realizării investiței, respectiv Universitatea de medicina si farmacie Victor Babeș după finalizare</t>
  </si>
  <si>
    <t>A fost obținută autorizația de construire de construire 20.04.2023. În curs de elaborare proiect tehnic de execuție în vederea începerii execuției lucrărilor.</t>
  </si>
  <si>
    <t>Construire Stadion Municipal Targoviste, județul Dâmbovița</t>
  </si>
  <si>
    <t>MDLPA prin C.N.I. S.A. pe perioada realizării investiței, respectiv UAT Târgoviște după finalizare</t>
  </si>
  <si>
    <t>“Reabilitare, extindere si dotare corp spital nou C1+C2”, Spitalul Judetean de Urgenta Giurgiu, jud. Giurgiu</t>
  </si>
  <si>
    <t>MDLPA prin C.N.I. S.A. pe perioada realizării investiței, respectiv  Consiliul Judetean Giugiu dupa finalizare</t>
  </si>
  <si>
    <t xml:space="preserve">Procedura de achizitii a obiectivului anulata. Este necesara o revizuire a documentatiei tehnice de proiectare si implicit o reavizare a indicatorilor tehnico economici.  </t>
  </si>
  <si>
    <t>Modernizare şi extindere capacitate de operare în portul Medgidia</t>
  </si>
  <si>
    <t>2028</t>
  </si>
  <si>
    <t>Modernizare si extindere capacitate de oeprare in portul Luminita</t>
  </si>
  <si>
    <t>0.18%</t>
  </si>
  <si>
    <t xml:space="preserve">Construire bazin de inot multifunctional - structura, Municipiul. Tg Secuiesc, județul Covasna </t>
  </si>
  <si>
    <t>MDLPA prin C.N.I. S.A. pe perioada realizării investiței, respectiv UAT Tg. Secuiesc după finalizare</t>
  </si>
  <si>
    <t xml:space="preserve">Autostrada Sibiu-Pitesti </t>
  </si>
  <si>
    <t xml:space="preserve">Sectiunea 1, lot 1: finalizat aprilie 2023
Sectiunea 1, lot 2 si Sectiunea 2: Estimat martie 2028 
Sectiunea 3: Estimat noiembrie 2027
Sectiunea 4: Estimat Februarie 2027
Sectiunea 5: Estimat August 2025
</t>
  </si>
  <si>
    <t>Reabilitarea liniei CF frontieră Curtici - Simeria parte componenta a Coridorului IV Pan-European pentru circulaţia trenurilor cu viteză maximă de 160 km/h, Tronsonul 2 :km 614-Gurasada şi Tronsonul 3: Gurasada-Simeria</t>
  </si>
  <si>
    <t>Proiectul inclus in POIM care are termen de eligibilitate pana in 2023, insa este propus pentru fazare in PT.</t>
  </si>
  <si>
    <t>Varianta ocolitoare Giurgiu</t>
  </si>
  <si>
    <t>Contractul de lucrari nu este atribuit.Dupa atribuire estimam o perioada de executie de 2 ani. Termen estimat de finalizare martie 2026.</t>
  </si>
  <si>
    <t>Legãturã Centurã Oradea (Girație Calea Sîntandrei) – Autostrada A3 (Biharia), județul Bihor</t>
  </si>
  <si>
    <t>Estimat RTL Trim IV 2023</t>
  </si>
  <si>
    <t>Bugetul aprobat la data de 31.05.2023 era trecut in PIP cu suma de 0,00 mii lei deoarece sumele pentru acest proiect au fost incluse in fisa obiectivului 415. Proiectul acesta a fost introdus ulterior distinct in PIP in 21.08.2023</t>
  </si>
  <si>
    <t>Extinderea sectiei de oncologie cu compartiment de radioterapie oncologica la Spitalul Universitar de Urgenta Bucuresti</t>
  </si>
  <si>
    <t>Spitalul Universitar de Urgenta Bucuresti</t>
  </si>
  <si>
    <t>2022</t>
  </si>
  <si>
    <t>Drum expres Brăila - Galaţi</t>
  </si>
  <si>
    <t xml:space="preserve"> PC</t>
  </si>
  <si>
    <t>Estimat RTL Mai 2024</t>
  </si>
  <si>
    <t>Port Brăila - lucrări de infrastructură portuară a sectorului portuar din incinta Bazin Docuri (Finanțat din titlul 58, POIM, HG nr. 894/2020)</t>
  </si>
  <si>
    <t>1366
(18445)</t>
  </si>
  <si>
    <t>65.22%</t>
  </si>
  <si>
    <t>Proiectul se va finaliza în anul 2023; Se va solicita rectificarea bugetului pe anul 2023</t>
  </si>
  <si>
    <t>Autostrada Ploiești - Buzău</t>
  </si>
  <si>
    <t>Îmbunătăţirea condiţiilor de navigaţie pe Dunăre între Călăraşi şi Brăila, km  375 – km 175 (Finanțat din titlul 56.03 - Programe din Fond de Coeziune, dini 84.01.55.01 -Transferuri interne, respectiv din 84.01.55.01.28 - Chelt. neeligibile ISPA - Fonduri nerambursabile si din 84.08.55.01.09 - Programe ISPA)</t>
  </si>
  <si>
    <t xml:space="preserve"> Stadiul de implementare:  - În prezent se derulează procedura de obținere a Acordului de mediu. Agenția de Protecția Mediului Călărași, la care s-a depus documentația, a solicitat obținerea Avizului de gospodărire a apelor. Pentru obținerea acestui aviz, a fost necesară elaborarea Studiului de Evaluare a Impactului asupra Corpului de Apă (SEICA). Consultantul EGIS EAU împreună cu expertul de mediu din cadrul UIP au elaborat Studiul SEICA, care a fost deja depus la Administrația Bazinală de Apă Buzău - Ialomița. 
-  Administrația Bazinală de Apă Buzău - Ialomița a solicitat ulterior încheirea unui protocol privind utilizarea terenurilor din domeniul public al apelor administrat de Administraţia Naţională "Apele Române", cf. art. 25, alin 5 din Legea apelor nr. 107/1996. Pentru încheierea protocolului, ABA Buzau - Ialomita a solicitat un studiu hidrologic de determinare a albiei minore in zona proiectului care a fost realizat Institutul Național de Hidrologie și Gospodărire a Apelor – INHGA. Protocolul a fost încheiat în data de 08.09.2021. 
 - De asemenea, APM Călărași a solicitat refacerea Raportului de impact asupra mediului (RIM) și a studiului de evaluare adecvata cu obiectivele de conservare a ariilor naturale protejate care se afla in zona proiectului si care au fost stabilite de curand de Agentia Nationala pentru Arii Naturale Protejate. La aceasta dată EGIS lucreaza la refacerea acestor studii. </t>
  </si>
  <si>
    <t>Podul suspendat peste Dunare in zona Braila, judetele Braila si Tulcea</t>
  </si>
  <si>
    <t>Estimat RTL 21.12.2023</t>
  </si>
  <si>
    <t>Construire sală polivalenta Municipiul Tulcea</t>
  </si>
  <si>
    <t>MDLPA prin C.N.I. S.A. pe perioada realizării investiței, respectiv UAT Tulceaa dupa finalizare</t>
  </si>
  <si>
    <t>In executie</t>
  </si>
  <si>
    <t>Varianta de ocolire Timisoara Sud</t>
  </si>
  <si>
    <t>Estimat RTL 15.12.2022</t>
  </si>
  <si>
    <t>Contractul de lucrari cu Tirrena Scavi a fost reziliat, urmand a fi semnat un nou contract de finalizare a lucrarilor</t>
  </si>
  <si>
    <t>Reabilitarea liniei de c.f. Frontiera-Curtici-Simeria parte componenta a Coridorului IV Paneuropean pentru circulatia trenurilor cu viteza maxima de 160 km/h, Sectiunea Frontiera-Curtici-Arad-km 614 (tronsonul 1) (Finanțat din titlul 56.03 - Programe din Fond de Coeziune)</t>
  </si>
  <si>
    <t xml:space="preserve">Lucrarile au fost  finalizare si receptionate la terminare in 2019. In prezent, se efectueaza activitatile de inchidere a mentiunilor din procesul verbal la terminare pentru efectuarea receptiei finale. Estimam receptia finala in decembrie 2023. De asemenea, mai sunt litigii pe rol
Valoarea platilor se efectueaza de la bugetul de stat, proiectul fiind finantat initial prin POST 2007-2013 </t>
  </si>
  <si>
    <t>Construire Spital Orasenesc Sinaia, judetul Prahova</t>
  </si>
  <si>
    <t>MDLPA prin C.N.I. S.A. pe perioada realizării investiței, respectiv UAT Sinaia după finalizare</t>
  </si>
  <si>
    <t>Lucrări de investiții și  intervenții în cazarma 705 Pitești</t>
  </si>
  <si>
    <t>MApN</t>
  </si>
  <si>
    <t>Constructia Variantei de ocolire Targu Jiu</t>
  </si>
  <si>
    <t>Termen de finalizare conform program de executie lucrari transmis de antreprenor 25.05.2024</t>
  </si>
  <si>
    <t>MAGISTRALA I DE METROU CLUJ</t>
  </si>
  <si>
    <t>U.A.T. Cluj-Napoca și U.A.T. Florești</t>
  </si>
  <si>
    <t>Legatura retelei de metrou cu Aeroportul 
International Henri Coanda - Otopeni
(Magistrala 6. 1 Mai -Otopeni)</t>
  </si>
  <si>
    <t>METROREX</t>
  </si>
  <si>
    <t>vom efectua demersuri pt modif valorii actualizate a obiectivului de investitiiin F29</t>
  </si>
  <si>
    <t xml:space="preserve"> Institutul Regional de Oncologie Timișoara</t>
  </si>
  <si>
    <t>DSP Timisoara</t>
  </si>
  <si>
    <t>Reabilitare si modernizare DJ 102 I, Valea Doftanei, jud. Prahova - Bradet, jud. Brasov</t>
  </si>
  <si>
    <t>MDLPA prin C.N.I. S.A. pe perioada realizării investiței, respectiv UAT Brașov și UAT Prahova după finalizare</t>
  </si>
  <si>
    <t>Lucrări de infrastructură necesare funcționării Colegiului Național Militar ”Alexandru Ioan Cuza”, în cazarma 3607 Constanța</t>
  </si>
  <si>
    <t>Prin actualizarea devizului general, (atașat adresei) in funcție de evoluția indicilor de cost, stadiul valoric a scazut de la 0,15 % la 0,12%.</t>
  </si>
  <si>
    <t>Mărirea gradului de siguranță a acumulării Colibița, județul Bistrița - Năsăud</t>
  </si>
  <si>
    <t xml:space="preserve">Prin legea bugetului de stat  pe anul 2023 nr. 368/2022    acest  proiect a fost bugetat motivat de faptul  că la aceea dată se afla in evaluare la MIPE. Deoarece proiectul nu a obtinut finantare din fonduri externe nerambursabile conform comunicare MIPE nr.6212/19.04.2023  finantarea acestui proiect se va asigura  din venituri proprii ANAR si buget de stat. </t>
  </si>
  <si>
    <t>Autostrada de Centura a Municipiului Bucuresti - Sector Centura Nord km 0+000 - 52+700</t>
  </si>
  <si>
    <t>Lot 1: Estimat Decembrie 2024
Lot 2: Estimat Iunie 2024
Lot 3: Estimat Noiembrie 2025
Lot 4: Estimat Octombrie 2024</t>
  </si>
  <si>
    <t>Modernizare DN 71 Baldana - Targoviste - Sinaia km 0+000-44+130; km 51+041-109+905</t>
  </si>
  <si>
    <t>Sector 1: : Baldana – Targoviste  km 0+000 –  km 44+130 largire la 4 benzi de circulatie- estimat RTL: 01.03.2026
Sector 2: Targoviste - Sinaia  km 51+041-109+905 drum la doua benzi - in curs de semnare contract</t>
  </si>
  <si>
    <t>Podul nou de la Cosmesti, peste Siret, pe DN 24 km 7+620 (inclusiv varianta de drum nou de cca. 5,6 km)</t>
  </si>
  <si>
    <t>Varianta de ocolire Buftea</t>
  </si>
  <si>
    <t>Varianta Ocolitoare Sfantu Gheorghe</t>
  </si>
  <si>
    <t>Realizare pavilion nou medicina operațională - politraumă D+P+4E, drum acces și rețele în cazarma 646 Brașov</t>
  </si>
  <si>
    <t>Modernizare DN 29D Botoşani–Ştefăneşti, km 2+800 - km 18+500 şi km 21+800 - km 48+146, judeţul Botoşani</t>
  </si>
  <si>
    <t>AUGUST 2023</t>
  </si>
  <si>
    <t xml:space="preserve">Modernizare DN28B Târgu Frumos – Botoșani km 0+000 – km 76+758
</t>
  </si>
  <si>
    <t xml:space="preserve"> August 2023</t>
  </si>
  <si>
    <t>Varianta de ocolire Iasi - etapa 2- Varianta Nord</t>
  </si>
  <si>
    <t>nu a intrat in LBS nici in 2022 nici in 2023</t>
  </si>
  <si>
    <t>Apărări de maluri pe Canalul Sulina – Etapa finală (Finanțat din titlul 58.03 - Programe din Fond de Coeziune POIM 2014-2020)</t>
  </si>
  <si>
    <t xml:space="preserve">1296
</t>
  </si>
  <si>
    <t>31.52%</t>
  </si>
  <si>
    <t xml:space="preserve"> Platforma Multimodală Galați – înlăturarea blocajelor majore prin   modernizarea infrastructurii existente și asigurarea conexiunilor lipsă pentru rețeaua centrală Rhin – Dunăre / Alpi (finanțare CEF Transport 2015-RO-TM-0275-W, POIM 2014 - 2020 și surse private)</t>
  </si>
  <si>
    <t>13.33%</t>
  </si>
  <si>
    <t>Contractul INEA/CEF/TRAN/M2015/1130543 din 01.08.2016 a încetat în data de 26.02.2021. Prin scrisoarea nr. ARES (2021)1744016 din 10.03.2021 transmisă de către INEA, partenerii consorțiului, inclusiv APDM, au fost anunțați de încetarea Contractuluide finanțare din CEF în conformitate cu prevederile Art. II.16.1. Prin adresa MTI-DGOIT nr. 5702/10.02.2021 s-a precizat posibilitatea finantarii din cadrul POIM 2014-2020, cu conditia respectarii prin cererea de finantare a limitelor stabilite prin Decizia CE C(2019)5615 și cu indicarea expresă a necesității de revizuire a devizului general și a supunerii spre analiză a ajutorului de stat, Consiliului Concurenței și Comisiei Europene. Devizul general revizuit a fost aprobat de catre CTE - APDM și de către CTE -MTI. 
Prenotificarea privind Ajutorul de Stat aferent revizuirii documentatiei tehnico-economica se afla in etapa de evaluare de catre structura de specialitate din cadrul DG COMP.</t>
  </si>
  <si>
    <t>Constructia variantei de ocolire Barlad</t>
  </si>
  <si>
    <t>Durata de executie a fost prelungita pana la 22.12.2023.
Estimat RTL Decembrie 2023</t>
  </si>
  <si>
    <t>WATMAN-Sistem informațional pentru managementul integrat al apelor</t>
  </si>
  <si>
    <t>Este necesara actualizarea studiului de fezabilitate</t>
  </si>
  <si>
    <t>Acumulare Runcu-jud. Maramureș</t>
  </si>
  <si>
    <t>N/A</t>
  </si>
  <si>
    <t>Drum expres Craiova-Pitesti și legaturile la drumurile existente</t>
  </si>
  <si>
    <t>Tronson I : RTL Trim IV 2024
Tronson II, lot 1: RTL 21.04.2022
Tronson II, lot 2: RTL 27.07.2022
Tronson III: RTL Trim I 2024
Trosnon 4: RTL Trim IV 2024</t>
  </si>
  <si>
    <t>Drum de legătură autostrada A1 Arad - Timişoara - DN 69, judeţul Timiş</t>
  </si>
  <si>
    <t>Contractul a fost reziliat in data de 07.09.2023.</t>
  </si>
  <si>
    <t>Varianta de ocolire Husi</t>
  </si>
  <si>
    <t>Reabilitare DN6 Alexandria – Craiova</t>
  </si>
  <si>
    <t>Lot 1: RF 24.11.2015
Lot 2: Estimat Noiembrie 2023
Lot 3: RF 05.07.2016</t>
  </si>
  <si>
    <t>Modernizare centura rutiera a municipiului Bucuresti intre A1-DN7 si DN2-A2</t>
  </si>
  <si>
    <t>A1-DN7: estimat decembrie 2023
DN2-A2: Reziliat dec 2022</t>
  </si>
  <si>
    <t>VENA A1-DN7=  41.906.102
VENA DN2-A2=  73.969.186</t>
  </si>
  <si>
    <t>Autostrada Brasov- Cluj -  Bors</t>
  </si>
  <si>
    <t>Tg. Mures - Ogra Lot 1: RTL 06.12.2021
Tg. Mures - Ogra Lot 2: RTL:12.12.2018 
Ogra - Campia Turzii Lot 1: RTL:12.12.2018
Ogra - Campia Turzii Lot 2: RTL 18.09.2020
Ogra - Campia Turzii Lot 3:Contract reziliat in mai 2021 - august 2023
Campia Turzii - Gilau:  Finalizat 2010 
Pod Somes: Finalizat 28.09.2018 
Gilau - Nadaselu: RTL 27.11.2017
Nadaselu -Mihaesti - Zimbor: Iulie 2025 (conform ultimului program de executie)
Zimbor - Poarta Salajului: estimat Decembrie 2024 (Iunie 2025 conform ultimului program de executie)
Poarta Salajului - Nusfalau
Nusfalau -Suplacu de Barcau - august 2023
Suplacu de Barcau - Chiribis: 2026
Chiribis - Biharia: 2025
Biharia - Bors: RTL 30.07.2020</t>
  </si>
  <si>
    <t>Autostrada Bucuresti - Brasov, km 0+000 -173+300</t>
  </si>
  <si>
    <t>Bucuresti - Ploiesti : 2018, RTL 2019
Ploiesti - Comarnic: -
Comarnic - Brasov: -
(Predeal - Cristian, lot 2: RTL dec 2020)
Parcari Bucuresti  - Ploiesti: contract reziliat 2021</t>
  </si>
  <si>
    <t>Avand in vedere ca la momentul prezentei, pentru sectiunile Ploiesti-Comarnic si Comarnic -Brasov nu au fost inca initiata procedura de licitatie, nu se poate estima un termen de finalizare</t>
  </si>
  <si>
    <t>Drum de legătură DN 66A km 47+600 - km 66+204, Câmpu lui Neag–Cerna", judeţul Gorj</t>
  </si>
  <si>
    <t>anul trecut a fost la prioritizare dar nu a fost in LBS</t>
  </si>
  <si>
    <t>Canal navigabil Dunare-Marea Neagra; DCS 300/1978; TITLUL 55 (1.184.661 mii lei)</t>
  </si>
  <si>
    <t>82%*</t>
  </si>
  <si>
    <t>2030</t>
  </si>
  <si>
    <t xml:space="preserve">Stadiul fizic este raportat la întregul obiectiv de investiții </t>
  </si>
  <si>
    <t>P47 Berceni  - Penitenciar 1000 de locuri cu regim de maximă siguranţă şi închis – Penitenciarul Ploieşti  – judeţul Prahova</t>
  </si>
  <si>
    <t>MJ</t>
  </si>
  <si>
    <t>Administrația Națională a Penitenciarelor</t>
  </si>
  <si>
    <t>2029</t>
  </si>
  <si>
    <t>Proiectul de investiții nu a fost introdus în PIP al Ministeurlui Justiției pe anul 2023 și nu a fost alocat un cod de fișă. Vom efectua demersurile necesare includerii in PIP cu ocazia rectificării bugetare pe anul 2023 în poziție globală în cadrul fișei cod obiectiv 868- Investiții publice în infrastructura ANP</t>
  </si>
  <si>
    <t xml:space="preserve">Modernizare drum național DN 1S km 0+000 – km 23+830 </t>
  </si>
  <si>
    <t>P48 Unguriu  - Penitenciar 900 de locuri cu regim semideschis şi deschis” – Penitenciarul Focșani, jud. Buzău</t>
  </si>
  <si>
    <t>Autostrada de Centura a Municipiului Bucuresti - Sector Centura Sud km 52+770 - 100+900</t>
  </si>
  <si>
    <t xml:space="preserve">Conform contract Lot 1: decembrie 2023 
Conform contract Lot 2:  Octombrie 2023
Conform contract Lot 3: Trim II 2024 </t>
  </si>
  <si>
    <t>Largire la 4 benzi DN 7, Baldana - Titu km 30+950 - 52+350, Jud. Dambovita</t>
  </si>
  <si>
    <t>Estimat: Noiembrie/Decembrie 2024</t>
  </si>
  <si>
    <t xml:space="preserve">A fost modificata valoarea din Anexa 3 conform Ordinului MTIC nr. 1032/2020 </t>
  </si>
  <si>
    <t>Acumulare Ogrezeni, jud. Giurgiu</t>
  </si>
  <si>
    <t>Este necesara actualizarea documentatiei care va decide stoparea sau continuarea obiectivului de investiii. Bugetarea se va face ulterior aprobarii, dupa caz. Valoarea proiectului aprobată prin HG 67/2014 nu a fost depășită dar sunt depășite costurile față de valoarea inițial aprobată.</t>
  </si>
  <si>
    <t>Constructia Autostrazii Sebes - Turda, km 0+000 - km 70+000</t>
  </si>
  <si>
    <t>Contract in curs de lansare licitatie, termen de executie 20 de luni. Termen estimat de finalizare decembrie 2025.</t>
  </si>
  <si>
    <t>Constructia Autostrazii Lugoj - Deva</t>
  </si>
  <si>
    <t>Lot 1: Receptionat final in noiembrie 2018
Lot 2:
1. Receptie la Terminarea Lucrarilor  Sectiunile A, B, C si Nod Rutier Margina (km 27+620 - km 43+060) - 03.03.2017;
2. Proiectare si executie lucrari pentru obiectivul major de investitii Autostrada Lugoj - Deva (A1)
 Lot 2 km 27+620 - km 56+220 Sectiunea E si finalizare Sectiunea D- estimat decembrie 2026;
Lot 3: Reziliat la data de 27.08.2019;
deschidere trafic 23.12.2019
Lot 4: Receptie la terminarea lucrarilor 12.08.2019</t>
  </si>
  <si>
    <t>Canal navigabil Poarta Alba-Midia, Navodari; DCS 409/1983; TITLUL 55 (1.083.338 mii lei)</t>
  </si>
  <si>
    <t>60%*</t>
  </si>
  <si>
    <t>Amenajarea complexa Vf. Câmpului, jud. Suceava și Botoșani</t>
  </si>
  <si>
    <t>Este necesara actualizarea documentatiei  si obtinerea actului de reglementare mediu</t>
  </si>
  <si>
    <t>Acumularea Mihăileni pe râul Crișul Alb, jud. Hunedoara</t>
  </si>
  <si>
    <t>in 2023 nu au fost alocate fonduri deoarece a existat Litigiu cu asociatia DECLIC. Procesul a fost castigat de ANAR si la rectificare se vor solicita fonduri pentru continuarea lucrarilor</t>
  </si>
  <si>
    <t>Modernizare DN 73 Pitesti-Campulung-Brasov km 13+800 - 42+850; km 54+050 - 128+250</t>
  </si>
  <si>
    <t>trim IV 2025</t>
  </si>
  <si>
    <t>Modernizare DN52 Alexandria - T. Magurele km 1+350 - km 44+600, km 49+194 - km 52+649</t>
  </si>
  <si>
    <t>martie 2024</t>
  </si>
  <si>
    <t xml:space="preserve">Amenajare râu Jijia pentru combaterea inundațiilor în județele Botoșani și Iași </t>
  </si>
  <si>
    <t>Valoarea proiectului aprobată prin HG 621/31.08.2016 nu a fost depășită dar sunt depășite costurile față de valoarea inițial aprobată.</t>
  </si>
  <si>
    <t>Varianta ocolitoare a oraşului Mediaş, pe DN 14</t>
  </si>
  <si>
    <t>In conformitate cu parteneriatul de implementare nr. 92/64483/01.10.2020, intre CNAIR SA si U.A.T. Medias, proiectul urmeaza a se realiza de catre U.A.T. Medias</t>
  </si>
  <si>
    <t>Largire la 4 benzi centura Bucuresti Sud intre A2 km 23+600 si A1 km 55+520</t>
  </si>
  <si>
    <t>Proiectare si Executie "Largire la 4 benzi a Centurii Rutiere a Municipiului Bucuresti Sud, intre A2 km 23+600 si A1 km 55+520" Lot 1: Amenajare Nod Rutier CB - DN4(Oltenita) km 29+500 - km 33+190:  Finalizat Iunie 2023
Proiectare si executie Largire la 4 Benzi a Centurii Rutiere a Municipiului Bucuresti Sud, intre A2 km.23+600 si km.55+520 – Lot II: Amenajare Nod Rutier CB – Dj 401 (Berceni) km.33+190 – 35+600: Finalizat Iulie 2023
Largire la 4 benzi a centurii rutiere a Municipiului Bucuresti Sud intre A1 (km 55+520) si DN 5 (km 40+000) - LOT I Largire la 4 benzi a centurii rutiere a Municipiului Bucuresti Sud intre A1 (km 55+520) si km 54+700 inclusiv parcarea de lunga durata de la km 54+765: estimat septembrie 2023
„Largire la 4 benzi a centurii rutiere a Municipiului Bucuresti Sud intre A1 (km 55+520) si DN 5 (km 40+000) - LOT II Largire la 4 benzi a centurii rutiere a Municipiului Bucuresti Sud intre km 54+700 si DN 5 (km 40+000)”: estimat 31.10.2025</t>
  </si>
  <si>
    <t>Varianta ocolitoare a orașului Aleșd</t>
  </si>
  <si>
    <t>Proiectul va fi implementat la nivelul CJ Bihor</t>
  </si>
  <si>
    <t>Centura de ocolire Craiova varianta Sud  DN 56-DN 55-DN 6</t>
  </si>
  <si>
    <t>Amenajarea râului Săsar în municipiul Baia Mare, jud. Maramureș</t>
  </si>
  <si>
    <r>
      <rPr>
        <sz val="12"/>
        <rFont val="Times New Roman"/>
        <family val="1"/>
        <charset val="238"/>
      </rPr>
      <t xml:space="preserve">Magistrala 5 Drumul Taberei - Pantelimon. 
</t>
    </r>
    <r>
      <rPr>
        <i/>
        <sz val="12"/>
        <rFont val="Times New Roman"/>
        <family val="1"/>
        <charset val="238"/>
      </rPr>
      <t xml:space="preserve"> (Imprumut BEI, Programul Operational Sectorial Transporturi 2007-2013,  Programul Operațional Infrastructură Mare aferent cadrului financiar 2014-2020) </t>
    </r>
  </si>
  <si>
    <t>Magistrala 5. Drumul Taberei-Pantelimon
Secțiunea 1: 
Râul Doamnei-Eroilor, inclusiv Galeria de legătură, Stația și Depoul Valea Ialomiței
10 statii + 1 depou
 PIF:septembrie 2020
Se execută lucrări pt. implementarea observatiilor comisiei de receptie la terminarea lucrarilor
Sectiunea 2: 
Eroilor-Iancului  -În derulare Contractul pentru servicii de proiectare si asistenta tehnica. 
 Secțiunea 3: 
Iancului - Pantelimon 
Nu au fost demarate procedurile de realizare ale acestei sectiuni
din eroare stadiul fizic trecut in prioritizarea pe anul  2022 a fost de 45%
solicitam modificarea  la 33,33%</t>
  </si>
  <si>
    <t>Constructia Variantei de Ocolire Targu Mures</t>
  </si>
  <si>
    <t>Varianta de ocolire Dej</t>
  </si>
  <si>
    <t>In conformitate cu acordul de colaborare nr. 92/35792/05.05.2021, intre CNAIR SA si Primaria Municipiului Dej, proiectul urmeaza a se realiza ca parte a interconectarii aliniamentului Autostrazii Nordului, la Mun. Dej</t>
  </si>
  <si>
    <t>Varianta de ocolire Galaţi, judeţul Galaţi</t>
  </si>
  <si>
    <t>Estimat RTL 04.10.2026</t>
  </si>
  <si>
    <t>Modernizare DN 2L Soveja-Lepșa km 60+145 - km 76+277</t>
  </si>
  <si>
    <t xml:space="preserve">Electrificare linie de cale ferata Doaga - Tecuci - Barbosi, inclusiv dispecer feroviar Galati                                                         </t>
  </si>
  <si>
    <t>1.Referitor la col.8: Valoarea proiectulului a fost actualizata în anul 2013 și este de 340.508 mii lei.
2. Referitor la col.10, precizăm ca în anul 2021 SDE Muntenia Nord a restituit suma de 1.989 mii lei cu OP nr.926/19.03.2021, astfel cheltuielile efectuate până la 31 dec.2021 au valoarea de 269.079 mii lei și în anul 2022 s-au efectuat cheltuieli în valoare de 257 mii lei, astfel cheltuielile efectuate până la 31 dec. 2022 sunt în valoare de 269.336 mii lei.</t>
  </si>
  <si>
    <t>Masura ISPA 2000/RO/16/P/PT/007 - Reabilitarea liniei CF Campina - Predeal</t>
  </si>
  <si>
    <t>376
(502)</t>
  </si>
  <si>
    <t xml:space="preserve">Se estimeaza finalizarea lucrarilor la substatia electronica (STE) din Predeal in 2023. </t>
  </si>
  <si>
    <t xml:space="preserve">Linie noua de cale ferata Valcele - Ramnicu - Valcea                                                              </t>
  </si>
  <si>
    <t>2035</t>
  </si>
  <si>
    <t xml:space="preserve"> În prezent se află în litigiu la Curtea de arbitraj.
 - Proiectul NU mai respectă rolul și funcțiile sale principale și NU mai reprezintă ca prioritate în cadrul strategiilor (naționale, sectoriale, regionale, etc.) în domeniul transporturilor. 
- Finanțarea va afecta alocările bugetare pentru alte proiecte cuprinse în programul de investiții
- Studiul de fezabilitate care a stat la baza aprobării obiectivului/ proiectului de investiții publice și a indicatorilor tehnico-economici ai acestuia NU mai este de actualitate, motiv pentru care este necesar elaborarea unui studiu privind soluțiile de implementare a proiectului de cale ferată Vâlcea-Vâlacele așa cum a fost comunicat catre MTI prin adresa nr. 9/5/821/17.12.2021</t>
  </si>
  <si>
    <t>Modernizare DN 51 Alexandria - Zimnicea, km 2+600 - km 43+783</t>
  </si>
  <si>
    <t xml:space="preserve">Modernizarea instalatiilor pe Magistralele 1, 2, 3, si Tronsonul de Legatura
</t>
  </si>
  <si>
    <t xml:space="preserve">Varianta de ocolire a municipiului Iasi -etapa I - Varianta Sud </t>
  </si>
  <si>
    <t>Obiect I - Finalizat 2017
Obiect II, III si IV - 2027</t>
  </si>
  <si>
    <t>Constructia Variantei de ocolire Stei</t>
  </si>
  <si>
    <t>Varianta de ocolire Fălticeni</t>
  </si>
  <si>
    <t>Varianta de ocolire Targu Frumos</t>
  </si>
  <si>
    <t>Modernizare DN 72 Gaiesti - Ploiesti km 0+000 - 76+180</t>
  </si>
  <si>
    <t>Trin IV 2024</t>
  </si>
  <si>
    <t>nu au fost calculati</t>
  </si>
  <si>
    <t>Modernizare DN 7A Brezoi - Petrosani,  km 0+000 - 86+600, sector km 0+000 - 62+000</t>
  </si>
  <si>
    <t>La data prezentei a fost suplimentata valoarea creditelor de angajament (2.147 mii lei), in vederea asigurarii fondurilor pentru demararea procedurii de achizitie publica pentru reactualizarea studiului de fezabilitate</t>
  </si>
  <si>
    <t>Modernizare DN 67B Scoarta - Pitesti km 0+000 - 188+200</t>
  </si>
  <si>
    <t>In prezent se afla pe rol in instanta un dosar privind rezilierea contractului nr. 775/19.05.2010</t>
  </si>
  <si>
    <t xml:space="preserve">Consolidare și protecție versanți DN 7A km 63+200 - km 86+601, judeţul Vâlcea
</t>
  </si>
  <si>
    <t>Modernizare DN56C km 0+000 - km 60+375</t>
  </si>
  <si>
    <t>In prezent se afla in derulare contractul nr. 416/12.04.2022 avand ca obiect servicii de reactualizare documentatie tehnica, intocmire PTH, inclusiv DTAC, DDE si asistenta tehnica</t>
  </si>
  <si>
    <t>Consolidare şi amenajare scurgere ape DN 55 km 4 + 400 - 71 + 100, judeţul Dolj</t>
  </si>
  <si>
    <t>in curs de desfasurare contractul nr. 442/12.07.2022 avand ca obiect servicii de proiectare actualizare valoare deviz general si liste de cantitati aferent rest de executat si asistenta tehnica</t>
  </si>
  <si>
    <t>Port Constanţa Sud - Zona de acces a navelor pe Canalul Dunăre - Marea Neagră, TITLUL 55</t>
  </si>
  <si>
    <t>Total</t>
  </si>
  <si>
    <t>**) Se va completa în funcție de programul anual actualizat</t>
  </si>
  <si>
    <t>***) Cu defalcare pe ani, pana la finalizarea proiectului (anul n+1, n+2, etc)</t>
  </si>
  <si>
    <t>NOTĂ:</t>
  </si>
  <si>
    <t>** Informatiile prezentate pentru data programata a terminarii constituie, de asemenea, cele mai recente estimari; proiectele pentru care sunt indicate date anterioare anului 2017 sunt proiecte finalizate / receptionate si date in folosinta</t>
  </si>
  <si>
    <t>*** Coloanele 5 si 6 cuprind valorile reale executate la 31.12.2022</t>
  </si>
  <si>
    <t>**** Coloana 10 cuprinde cheltuielile finale efectuate pana la 31.12.2022</t>
  </si>
  <si>
    <t>DTN</t>
  </si>
  <si>
    <r>
      <rPr>
        <sz val="10"/>
        <rFont val="Calibri"/>
        <family val="2"/>
        <charset val="1"/>
      </rPr>
      <t xml:space="preserve">1. La obiectivele </t>
    </r>
    <r>
      <rPr>
        <b/>
        <sz val="10"/>
        <rFont val="Calibri"/>
        <family val="2"/>
        <charset val="1"/>
      </rPr>
      <t xml:space="preserve">CDMN </t>
    </r>
    <r>
      <rPr>
        <sz val="10"/>
        <rFont val="Calibri"/>
        <family val="2"/>
        <charset val="1"/>
      </rPr>
      <t xml:space="preserve">si </t>
    </r>
    <r>
      <rPr>
        <b/>
        <sz val="10"/>
        <rFont val="Calibri"/>
        <family val="2"/>
        <charset val="1"/>
      </rPr>
      <t>CPAMN</t>
    </r>
    <r>
      <rPr>
        <sz val="10"/>
        <rFont val="Calibri"/>
        <family val="2"/>
        <charset val="1"/>
      </rPr>
      <t xml:space="preserve"> procentul de realizare stadiu fizic s-a calculat conform datelor din HG nr. 1179/2002, legislația în vigoare la data avizării valorii actualizate a investiției,  și se referă la întregul proiect în ansamblu, respectiv Canalul Dunăre - Marea Neagră și Canalul Poarta Albă - Midia Năvodari</t>
    </r>
  </si>
  <si>
    <r>
      <rPr>
        <sz val="10"/>
        <rFont val="Calibri"/>
        <family val="2"/>
        <charset val="1"/>
      </rPr>
      <t>2. La obiectivul de investiții</t>
    </r>
    <r>
      <rPr>
        <b/>
        <sz val="10"/>
        <rFont val="Calibri"/>
        <family val="2"/>
        <charset val="1"/>
      </rPr>
      <t xml:space="preserve"> Platformă Mulimodala Galați: </t>
    </r>
  </si>
  <si>
    <t xml:space="preserve">Conform HG nr. 80/2020 finanţarea obiectivului de investiţii  se realizează în limita sumelor aprobate anual cu această destinaţie, conform programelor de investiţii publice aprobate potrivit legii, astfel:  </t>
  </si>
  <si>
    <t xml:space="preserve"> a) din fonduri externe nerambursabile prin Mecanismul pentru interconectarea Europei (CEF TRANSPORT) şi în completare de la bugetul de stat prin bugetul Ministerului Fondurilor Europene, conform prevederilor art. 6 alin. (6) din Ordonanţa de urgenţă a Guvernului nr. 40/2015 privind gestionarea financiară a fondurilor europene pentru perioada de programare 2014-2020, aprobată cu modificări şi completări prin Legea nr. 105/2016;</t>
  </si>
  <si>
    <t xml:space="preserve">b) din Programul operaţional Infrastructura mare (POIM 2014-2020) prin bugetul Ministerului Transporturilor, Infrastructurii şi Comunicaţiilor, conform art. 6 alin. (2) din Ordonanţa de urgenţă a Guvernului nr. 40/2015, aprobată cu modificări şi completări prin Legea nr. 105/2016;  </t>
  </si>
  <si>
    <t xml:space="preserve">c) din fonduri private.  </t>
  </si>
  <si>
    <t>În prezenta raportare, la buget 2023 - 2025 se raportează sumele prevăzute prin bugetul MTI, titlul 58 POIM, pentru partenerul public CN APDM SA Galați</t>
  </si>
  <si>
    <t>CNCF CFR SA</t>
  </si>
  <si>
    <r>
      <rPr>
        <b/>
        <sz val="12"/>
        <rFont val="Calibri"/>
        <family val="2"/>
        <charset val="1"/>
      </rPr>
      <t xml:space="preserve"> </t>
    </r>
    <r>
      <rPr>
        <sz val="12"/>
        <rFont val="Calibri"/>
        <family val="2"/>
        <charset val="1"/>
      </rPr>
      <t xml:space="preserve">*) Proiectul cod fisa 424 - Linie nouă de cale ferată Vâlcele-Râmnicu Vâlcea, propunem eliminarea din Master Planul General de Transport al României (MPGT), deoarece:
- NU mai respectă rolul și funcțiile sale principale și NU mai reprezintă ca prioritate în cadrul strategiilor (naționale, sectoriale, regionale, etc.) în domeniul transporturilor. 
- Finanțarea va afecta alocările bugetare pentru alte proiecte cuprinse în programul de investiții
- Studiul de fezabilitate care a stat la baza aprobării obiectivului/proiectului de investiții publice și a indicatorilor tehnico-economici ai acestuia NU mai este de actualitate, așa cum a fost comunicat catre MTI prin adresa nr. 9/5/821/17.12.2021 și confirmat in cadrul Planului Investitional pentru dezvoltarea infrastructurii de transport pentru perioada 2020-2030 (pag. 113) aprobat prin HG nr. 1312/30.12.2021 privind modificarea Hotărârii Guvernului nr. 666/2016 pentru aprobarea documentului strategic Master Planul General de Transport al României. Valoarea estimată a studiului este de 5 mil. euro fără TVA
</t>
    </r>
  </si>
  <si>
    <t>distributie numar proiecte</t>
  </si>
  <si>
    <t>% din total nr proiecte</t>
  </si>
  <si>
    <t>sf   0%</t>
  </si>
  <si>
    <t>sf    0,01-99,99%</t>
  </si>
  <si>
    <t>sf   100%</t>
  </si>
  <si>
    <t>verific total -3 categ</t>
  </si>
  <si>
    <t>0-99,99</t>
  </si>
  <si>
    <t>distributie cheltuieli pe ministere</t>
  </si>
  <si>
    <t>distributie necesar pe ministere</t>
  </si>
  <si>
    <t>CH 0-99</t>
  </si>
  <si>
    <t>CH 100</t>
  </si>
  <si>
    <t>N 0-99</t>
  </si>
  <si>
    <t>N 100</t>
  </si>
  <si>
    <t>verif CH</t>
  </si>
  <si>
    <t>verif N</t>
  </si>
  <si>
    <t>nr pr 0-99</t>
  </si>
  <si>
    <t>nr pr 100</t>
  </si>
  <si>
    <t>total</t>
  </si>
  <si>
    <r>
      <rPr>
        <sz val="12"/>
        <rFont val="Times New Roman"/>
        <family val="1"/>
        <charset val="1"/>
      </rPr>
      <t>Ministerul Transporturilor si</t>
    </r>
    <r>
      <rPr>
        <sz val="12"/>
        <color rgb="FF00000A"/>
        <rFont val="Times New Roman"/>
        <family val="1"/>
        <charset val="1"/>
      </rPr>
      <t xml:space="preserve"> Infrastructurii</t>
    </r>
  </si>
  <si>
    <t>Ministerul Sănătăţii</t>
  </si>
  <si>
    <t>Ministerul Justiţiei</t>
  </si>
  <si>
    <t>Ministerul Dezvoltării Lucrarilor Publice si Administratiei</t>
  </si>
  <si>
    <t>Ministerul Mediului, Apelor și Pădurilor</t>
  </si>
  <si>
    <t>Ministerul Economiei</t>
  </si>
  <si>
    <t>ME</t>
  </si>
  <si>
    <t>Ministerul Cercetarii, Inovarii si Digitalizarii</t>
  </si>
  <si>
    <t>Ministerul Apararii Nationale</t>
  </si>
  <si>
    <t>verificare cu tabel</t>
  </si>
  <si>
    <t>distributie % cheltuieli pe ministere</t>
  </si>
  <si>
    <t>distributie % necesar pe ministere</t>
  </si>
  <si>
    <t>distributie cheltuieli pe stadii fizice</t>
  </si>
  <si>
    <t>SF 0</t>
  </si>
  <si>
    <t>SF 100</t>
  </si>
  <si>
    <t>TOTAL SF0+SF100</t>
  </si>
  <si>
    <t>preluare chelt</t>
  </si>
  <si>
    <t>diferenta/verificare</t>
  </si>
  <si>
    <t>doar SF 0,01-99,99</t>
  </si>
  <si>
    <t>companii MT</t>
  </si>
  <si>
    <t>metrorex</t>
  </si>
  <si>
    <t>VA</t>
  </si>
  <si>
    <t>RF</t>
  </si>
  <si>
    <t>nr proiect</t>
  </si>
  <si>
    <t>centr</t>
  </si>
  <si>
    <t>anexa</t>
  </si>
  <si>
    <t>dif</t>
  </si>
  <si>
    <t>cnair</t>
  </si>
  <si>
    <t>Vact</t>
  </si>
  <si>
    <t>Rfin</t>
  </si>
  <si>
    <t>Punct</t>
  </si>
  <si>
    <t>SF</t>
  </si>
  <si>
    <t>SV</t>
  </si>
  <si>
    <t>centraliz</t>
  </si>
  <si>
    <t>TOTAL</t>
  </si>
  <si>
    <t>dif punct</t>
  </si>
  <si>
    <t>distributie necesar finantare pe stadii fizice</t>
  </si>
  <si>
    <t xml:space="preserve">total sf 0+ sf100 </t>
  </si>
  <si>
    <t>verificare</t>
  </si>
  <si>
    <t>apmc</t>
  </si>
  <si>
    <t>MTIC</t>
  </si>
  <si>
    <t>afdj</t>
  </si>
  <si>
    <t>apmc si afdj</t>
  </si>
  <si>
    <t>DOAR 0-99</t>
  </si>
  <si>
    <t>cfr</t>
  </si>
  <si>
    <t>distributie necesar pe stadii fizice - total</t>
  </si>
  <si>
    <t>acn</t>
  </si>
  <si>
    <t>total split MT</t>
  </si>
  <si>
    <t>MT centraliz</t>
  </si>
  <si>
    <t>MINISTERUL FINANȚELOR</t>
  </si>
  <si>
    <t>Valoarea actualizată a proiectului (mii lei)
-mii lei-</t>
  </si>
  <si>
    <t>Cheltuieli efectuate pana la 31.12.2023 (mii lei)</t>
  </si>
  <si>
    <t>Cheltuieli estimate pentru anul curent 2024 (mii lei)</t>
  </si>
  <si>
    <t>C.N.A.I.R. S.A.</t>
  </si>
  <si>
    <t>Estimat RTL 21.12.2024</t>
  </si>
  <si>
    <t>Proiectul este fazat si se va finanta din Programe finantate din Fondul de Coeziune (FC), aferente cadrului financiar 2021-2027. Valoarea din PIP se va corecta la rectificarea bugetară, deoarece la construcția bugetului pentru anul 2024, la cheltuielile preliminate 2023 este înregistrat credit de angajament mai mare cu 1030 mii lei față de aprobarea prin H.G. nr.224/2022.</t>
  </si>
  <si>
    <t xml:space="preserve"> RTL decembrie 2024</t>
  </si>
  <si>
    <t>Lot 1: RF 24.11.2015
Lot 2: decembrie 2024
Lot 3: RF 05.07.2016</t>
  </si>
  <si>
    <t>Estimat RTL 23 Aprilie 2025</t>
  </si>
  <si>
    <t xml:space="preserve">Diferenta intre stadiul fizic si valoric rezulta din faptul ca valoarea semnata a contractului de achizite publica este la aprox 50% din valoarea hotararii de guvern de aprobare a indicatorilor tehnico-economici, iar stadiul valoric in anexa 3 se face raportand cheltuielile efectuate la valoarea actualizata a proiectului de investitii. </t>
  </si>
  <si>
    <t>Estimat RTL Mai 2025</t>
  </si>
  <si>
    <t xml:space="preserve"> Proiectul este fazat si se va  finanta din fonduri externe nerambursabile prin programul FEDR -cadru financiar 2021-2027.</t>
  </si>
  <si>
    <t>Diferentele dintre valoarea actualizata existente in Anexa 3 si Anexa 3/24/29 din luna mai 2024 au fost actualizate pe parcursul anului 2024.</t>
  </si>
  <si>
    <t>Proiectul este derulat la nivelul UAT ARAD, contractele fiind semnate, derulate si cheltuielile efectuate la nivelul acestora, ele nefiind inscrise in PIP</t>
  </si>
  <si>
    <t>Informațiile financiare sunt diferite între PIP la 31.05.2024 și Anexa 3 deoarece la momentul elaborării proiectului legii bugetului de stat formularul 29 nu a fost actualizat.</t>
  </si>
  <si>
    <t>Estimat: 12.02.2025 (conform ultimei extensii aprobate)</t>
  </si>
  <si>
    <t>Proiect finanțat din POIM 2014-2020, etapizat PT 2021-2027 (contract de finanțare semnat la data de 09.05.2024 cu AM PT).</t>
  </si>
  <si>
    <t>T1: 06.01.2025
T2: 06.04.2025
T3: 10.04.2025
T4: 17.09.2024</t>
  </si>
  <si>
    <t>Finanțare CEF Transport 2015-RO-TM-0275-W, POIM 2014 - 2020, PT 2021 - 2027 și surse private**</t>
  </si>
  <si>
    <t xml:space="preserve">MTI </t>
  </si>
  <si>
    <t>Drum Expres Conexiune Satu Mare (VO Satu Mare)-Oar (Granița Româno-Ungară–  Drum Expres M49 Ungaria)</t>
  </si>
  <si>
    <t>01.02.2025</t>
  </si>
  <si>
    <t>În executie</t>
  </si>
  <si>
    <t>CNCF CFR-SA</t>
  </si>
  <si>
    <t>Progresul financiar superior celui fizic se datoreaza avansului acordat</t>
  </si>
  <si>
    <t>Lot 1- 29.09.2025    , Lot 2,3- 02.11.2025</t>
  </si>
  <si>
    <t>Lot 1: Estimat Februarie 2028
Lot 2: Estimat Februarie 2028
Lot 3: Estimat Octombrie 2027
Lot 4: Estimat Ianuarie 2028</t>
  </si>
  <si>
    <t>RELOCARE, DEZVOLTARE ȘI CONSTRUIRE ANSAMBLU MEDICAL NOU I.C.FUNDENI (justificare )</t>
  </si>
  <si>
    <t>Institutul Clinic Fundeni</t>
  </si>
  <si>
    <t>45993
MySMIS</t>
  </si>
  <si>
    <t>Bugetul alocat pentru anul 2024 este 0 lei deoarece procedura de licitatie este in desfasurare pentru atribuirea contractului de proiectare si executie lucrari</t>
  </si>
  <si>
    <t xml:space="preserve">Ofertant proiectare și execuție lucrări desemnat câștigător. Urmează semnarea contractului de proiectare și execuție lucrări.
</t>
  </si>
  <si>
    <t>Implementarea masurilor necesare asigurarii functionalitatii sistemului ERTMS pe Coridorul IV (Frontiera-Curtici-Simeria-Sighisoara-Brasov-Predeal-Constanta), certificarea si autorizarea punerii in functiune a subsistemelor feroviare</t>
  </si>
  <si>
    <t>Proiectul este in etapa de elaborare a documentatiei de achizitie, Acesta va fi finantat din PT 2021-2027.
CFR a transmis propunerea de includere a proiectului în PIP in data de 10.06.2024.</t>
  </si>
  <si>
    <t>Modernizarea infrastructurii de cale ferată dintre stațiile CF București Nord - Jilava - Giurgiu Nord - Giurgiu Nord Frontieră”</t>
  </si>
  <si>
    <t>Proiectul pentru contractul de proiectare si executie este in procedura de achizitie</t>
  </si>
  <si>
    <t>Varianta de ocolire Timisoara vest</t>
  </si>
  <si>
    <t>Varianta de ocolire Horezu</t>
  </si>
  <si>
    <t>Reabilitarea liniei feroviare Craiova – Drobeta Turnu Severin – Caransebes, parte a Coridorului Orient/est –Meditereanean</t>
  </si>
  <si>
    <t>2031</t>
  </si>
  <si>
    <t>Proiectul este in procedura de achizitie pentru contractele de lucrari de proiectare si executie fiind lansate 2 proceduri pana la finalul lui 31.05.2024</t>
  </si>
  <si>
    <t>Modernizarea infrastructurii feroviare in Portul Constanta</t>
  </si>
  <si>
    <t>Proiectul este in derulare, in etapa de proiectare. Contractul a fost semnat in 2024</t>
  </si>
  <si>
    <t>Modernizarea infrastructurii de distribuție a energiei electrice în Portul Constanța - etapa a II-a</t>
  </si>
  <si>
    <t>31.12.2024</t>
  </si>
  <si>
    <t>Desi PVRTL a fost emis, in cadrul proiectului mai este necesar a se efectua plati aferente contractelor de sablare si reparatii pile</t>
  </si>
  <si>
    <t>proiectul a fost introdus in LBS in luna iulie 2024</t>
  </si>
  <si>
    <t>Alternativa Techirghiol</t>
  </si>
  <si>
    <t>Proiectare si Executie "Largire la 4 benzi a Centurii Rutiere a Municipiului Bucuresti Sud, intre A2 km 23+600 si A1 km 55+520" Lot 1: Amenajare Nod Rutier CB - DN4(Oltenita) km 29+500 - km 33+190:  Finalizat Iunie 2023
Proiectare si executie Largire la 4 Benzi a Centurii Rutiere a Proiectare si Executie "Largire la 4 benzi a Centurii Rutiere a Municipiului Bucuresti Sud, intre A2 km 23+600 si A1 km 55+520" Lot 1: Amenajare Nod Rutier CB - DN4(Oltenita) km 29+500 - km 33+190:  Finalizat Iunie 2023
Proiectare si executie Largire la 4 Benzi a Centurii Rutiere a Municipiului Bucuresti Sud, intre A2 km.23+600 si km.55+520 – Lot II: Amenajare Nod Rutier CB – Dj 401 (Berceni) km.33+190 – 35+600: Finalizat Iulie 2023
Largire la 4 benzi a centurii rutiere a Municipiului Bucuresti Sud intre A1 (km 55+520) si DN 5 (km 40+000) - LOT I Largire la 4 benzi a centurii rutiere a Municipiului Bucuresti Sud intre A1 (km 55+520) si km 54+700 inclusiv parcarea de lunga durata de la km 54+765: estimat septembrie 2023
„Largire la 4 benzi a centurii rutiere a Municipiului Bucuresti Sud intre A1 (km 55+520) si DN 5 (km 40+000) - LOT II Largire la 4 benzi a centurii rutiere a Municipiului Bucuresti Sud intre km 54+700 si DN 5 (km 40+000)”: estimat 31.10.2025</t>
  </si>
  <si>
    <t>Pod pe DN 54( km 64+001) judetul Teleorman</t>
  </si>
  <si>
    <t>Autostrada Craiova Filiasi si Drum Expres Filiasi Targu Jiu</t>
  </si>
  <si>
    <t>Autostrada Pașcani - Suceava</t>
  </si>
  <si>
    <t xml:space="preserve">Lot 1: Estimat Aprilie 2026
Lot 2: Estimat Februarie 2026
Lot 3: Estimat Februarie 2026
</t>
  </si>
  <si>
    <t>Termen contractual: 31.12.2026  (fara garantie)</t>
  </si>
  <si>
    <t>Varianta de ocolire Gura Humorului</t>
  </si>
  <si>
    <t>Cheltuielile efectuate până la 31.12.2022, în valoare de 2897 mii lei, reprezintă contravaloarea Studiului de fezabilitate și este cuprinsă în valoarea totală a proiectului de 2.040.142 mii lei.</t>
  </si>
  <si>
    <t>Magistrala I de Metrou Cluj</t>
  </si>
  <si>
    <t xml:space="preserve">În execuție. Termenul estimat de finalizare al lucrărilor de execuție este 30.01.2025 ținând cont de necesitatea reavizării indicatorilor tehnico-economici aprobați prin HG 545/2020. </t>
  </si>
  <si>
    <t>Modernizarea canalelor navigabile ale Dunării: Canal Dunare Marea Neagră și Canal Poarta Albă - Midia, Năvodari în vederea creșterii siguranței navigație</t>
  </si>
  <si>
    <t>Modernizarea/Consolidarea/Reabilitarea Statiei CF Gara de Nord Bucuresti - Faza 1</t>
  </si>
  <si>
    <t xml:space="preserve">Au fost efectuate receptii finale pe loturile de lucrari de infrastructura, suprastructura si lucrari civile dupa cum umreaza: 
Lot Vintu de Jos - Coslariu -  decembrie 2023
Lot Vintu de Jos - Simeria - decembrie 2023
Mai sunt de finalizat lucrarile/testarile aferente Lot ERTMS, se estimează efectuarea recepțiilor la terminare pentru Lot ERTMS in 2024.
Mai sunt litigii pe rol in cadrul proietului
Valoarea platilor se efectueaza de la bugetul de stat din Titlul 58 Proiecte cu Finanțare din Fonduri Externe Nerambursabile aferente cadrului financiar 2014-2020 aferent perioadei 2014-2020 </t>
  </si>
  <si>
    <t>Termenul de finalizare a proiectului prin HG 1434/2022 este martie 2026. În conformitate cu prevederile OUG 36/2023 termenul până la care trebuie finalizat proiectul este 31.12.2026. Se va solicita o majorare a valorii proiectului având în vedere falimentul firmei care trebuie să realizeze Sistemul gama și necesitatea ca acest sistem să fie realizat in-house.</t>
  </si>
  <si>
    <t xml:space="preserve">Conform contract Lot 1 RTL : 31.07.2024
Conform contract Lot 2:  RTL:29.12.2023
Conform contract Lot 3: 23.11.2022; Estimat - Trim IV 2024 </t>
  </si>
  <si>
    <t>Proiectul va fi implementat la nivelul CJ Bihor.proiectul este derulat la nivelul UAT Alesd, contractele fiind semnate derulate si cheltuielile efectuate la nivelul acestora, ele nefiind inscrise in PIP</t>
  </si>
  <si>
    <t>Reabilitarea liniei de cale ferată Dărmănești - Vicșani - Frontiera</t>
  </si>
  <si>
    <t>Procedura de achizitie pentru contractul de proiectare si executie a fost anulat. Aceasta va fi reluata</t>
  </si>
  <si>
    <t>Modernizare și extindere infrastructură de alimentare cu apă și canalizare în Portul Constanța</t>
  </si>
  <si>
    <t>Drum de legatura intre A1 si DN7 (DJ711 A) Largire la 4 benzi</t>
  </si>
  <si>
    <t>reziliat in 2024, noul contract de executie lucrari a fost semnat in data de 19.07.2024</t>
  </si>
  <si>
    <t>MDLPA prin C.N.I. S.A. pe perioada realizării investiței, U.A.T. Suceava dupa finalizare</t>
  </si>
  <si>
    <t xml:space="preserve">În execuție. Termenul estimat de finalizare al lucrărilor de execuție este 20.03.2025 și ține cont de necesitatea reavizării indicatorilor tehnico-economici aprobați prin HG 294/2021.  </t>
  </si>
  <si>
    <t xml:space="preserve">În execuție.Termenul estimat de finalizare al lucrărilor de execuție este 30.04.2026 ținând cont de revencicarile Antreprenorului ce urmeaza a fi detaliate si prezentate in conformitate cu prevederile contractuale,  Antreprenorul fiind îndreptățit la prelungirea duratei de execuție a lucrărilor. </t>
  </si>
  <si>
    <t>Autostrada Târgu Mureș – Târgu Neamț  „Secțiunea II: Miercurea Nirajului-Leghin km 22+000- km 181+195"</t>
  </si>
  <si>
    <t>Proiectul  se va finaliza pana in decembrie 2024 în conformitate cu Notificare MIPE nr.3833/10.01.2024</t>
  </si>
  <si>
    <t>Construire si dotare centru de oncologie si  radiochirurgie stereotactica  la Spitalul Clinic de Urgență Bagdasar - Arseni București</t>
  </si>
  <si>
    <t>Ministerul Sănătății prin S.C.U.B.A.</t>
  </si>
  <si>
    <t>dec 2026</t>
  </si>
  <si>
    <t xml:space="preserve">Master Planul Infrastructurii Rutiere si de Acces a Portului Constanta – Extinderea, modernizarea si reabilitarea drumurilor si pasajelor din Portul Constanta </t>
  </si>
  <si>
    <t>Dragaj de investitii in Porturile Maritime</t>
  </si>
  <si>
    <t>Retehnologizare Ecluza Navodari in vederea cresterii sigurantei navigatiei</t>
  </si>
  <si>
    <t xml:space="preserve">1265
</t>
  </si>
  <si>
    <t>MDLPA prin C.N.I. S.A. pe perioada realizării investiței, UAT Tulcea dupa finalizare</t>
  </si>
  <si>
    <t xml:space="preserve">În execuție. Termenul estimat de finalizare al lucrărilor de execuție este 30.04.2025 ținând cont de necesitatea reavizării indicatorilor tehnico-economici aprobați prin HG 562/2019. </t>
  </si>
  <si>
    <t>MDLPA prin C.N.I. S.A pe perioada realizării investiței, Universitatea de medicina si farmacie Victor Babeș după finalizare</t>
  </si>
  <si>
    <t>MDLPA prin C.N.I. S.A. pe perioada realizării investiței, U.A.T Tg. Secuiesc după finalizare</t>
  </si>
  <si>
    <t>Tg. Mures - Ogra Lot 1: RTL 06.12.2021
Tg. Mures - Ogra Lot 2: RTL:12.12.2018 
Ogra - Campia Turzii Lot 1: RTL:12.12.2018
Ogra - Campia Turzii Lot 2: RTL 18.09.2020
Ogra - Campia Turzii Lot 3:Contract reziliat in mai 2021 - august 2023
Campia Turzii - Gilau:  Finalizat 2010 
Pod Somes: Finalizat 28.09.2018 
Gilau - Nadaselu: RTL 27.11.2017
Nadaselu -Mihaesti - Zimbor: Octombrie 2026 (conform ultimului program de executie)
Zimbor - Poarta Salajului: Decembrie 2026 (conform ultimului program de executie)
Poarta Salajului - Nusfalau
Nusfalau -Suplacu de Barcau - august 2023
Suplacu de Barcau - Chiribis: martie 2026
Chiribis - Biharia: mai 2027
Biharia - Bors: RTL 30.07.2020</t>
  </si>
  <si>
    <t>Lot 1: Estimat Decembrie 2024
Lot 2: Finalizat Noiembrie 2023
Lot 3: Estimat Noiembrie 2025
Lot 4: Estimat Februarie 2025</t>
  </si>
  <si>
    <t>Lot 1: Receptionat final in noiembrie 2018
Lot 2:
1. Receptie la Terminarea Lucrarilor  Sectiunile A, B, C si Nod Rutier Margina (km 27+620 - km 43+060) - 03.03.2017;
2. Proiectare si executie lucrari pentru obiectivul major de investitii Autostrada Lugoj - Deva (A1)
 Lot 2 km 27+620 - km 56+220 Sectiunea E si finalizare Sectiunea D- septembrie 2026;
Lot 3: Reziliat la data de 27.08.2019;
deschidere trafic 23.12.2019
Lot 4: Receptie la terminarea lucrarilor 12.08.2019</t>
  </si>
  <si>
    <t>Contract reziliat de catre Antreprenor in data de 21.10.2022
In prezent este in derularea procedurii de achizitie publica pentr relicitare</t>
  </si>
  <si>
    <t>martie 2026</t>
  </si>
  <si>
    <t>MDLPA prin C.N.I. S.A. pe perioada realizării investiței, Univeristatea Ștefan cel Mare după finalizare</t>
  </si>
  <si>
    <t>„Construire Cămin Studențesc – Universitatea din Oradea, str. Făgărașului, nr. 9, municipiul Oradea, județul Bihor”</t>
  </si>
  <si>
    <t xml:space="preserve">C.N.I. S.A.    pe perioada realizării investiței Universitatea din Oradea  -  dupa finalizare </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</si>
  <si>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12.12.2027</t>
  </si>
  <si>
    <t>Proiect aflat în faza de execuție lucrări.
Proiect propus la fazare pe PT 2021 - 2027</t>
  </si>
  <si>
    <t xml:space="preserve">În execuție. Termenul estimat de finalizare al lucrărilor de execuție este 30.06.2026 ținând  cont de situația neprevăzută apărută în implemnetarea proiectului de realizare a descărcării arheologice a amplasamentului.  Termenul de finalizare este estimat în funcție de data preconizată de eliberare a amplasamentului. </t>
  </si>
  <si>
    <t>MDLPA prin C.N.I. S.A. pe perioada realizării investiței, Academia Română după finalizare</t>
  </si>
  <si>
    <t xml:space="preserve">În proiectare, autorizație de construire obținută, în curs de elaborare proiect tehnic de execuție.Termenul estimat de finalizare al lucrărilor de execuție este 29.12.2026 ținând  cont  întârzierile în obținerea avizelor, acordurilor și autorizațiilor necesare realizării lucrărilor lucrărilor neputând fi executate în lipsa unei autorizații de construire. Termenul de finalizare este estimat în funcție de data preconizată de începere a execuției lucrărilor autorizate. </t>
  </si>
  <si>
    <t>MDLPA prin C.N.I. S.A pe perioada realizării investiței,UAT Târgoviște după finalizare</t>
  </si>
  <si>
    <t>nu a fost transmis termen de finalizare</t>
  </si>
  <si>
    <t>Urmeaza a fi propus ca proiect nou ]n proiectul legii bugetului de stat pe anul 2025</t>
  </si>
  <si>
    <t>“Construire Sală Polivalentă, municipiul Iași, județul Iași” conform P.U.Z. aprobat prin H.C.L. 353/29.08.2022</t>
  </si>
  <si>
    <t>C.N.I. S.A.  pe perioada realizării investiței          UAT Municipiul Iasi - dupa finalizare</t>
  </si>
  <si>
    <t>Estimarea cheltuielilor s-a facut tinand cont de faptul ca obiectivul de investitii se afla in etapa de pregătire a procedurii de achizitie a contractului de executie. Astfel, in estimarea cheltuielilor si a termenului de finalizare au fost luate in calcul termenele legale privind finalizarea procedurii de achizitie publica, fara eventuale contestatii al caror termen nu poate fi cuantificat in aceasta etapa. Termen estimat finalizare 29.04.2027</t>
  </si>
  <si>
    <t>„Construire Arenă multifuncțională C.S. Dinamo București, Șos. Ștefan cel Mare, Nr. 7-9, Lot 1/1, sectorul 2, București”</t>
  </si>
  <si>
    <t xml:space="preserve">C.N.I. S.A.  pe perioada realizării investiței   Ministerul Afacerilor Interne - clubul Sportiv Dinamo Bucuresti - dupa finalizare       </t>
  </si>
  <si>
    <t>Estimarea cheltuielilor s-a facut tinand cont de faptul ca obiectivul de investitii se afla in etapa de pregătire a procedurii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29.01.2028</t>
  </si>
  <si>
    <t>Construire Stadion cu capacitate de 30.000 locuri, Str. Ștefan Covaci nr. 1, municipiul Timișoara, județul Timiș</t>
  </si>
  <si>
    <t xml:space="preserve">C.N.I. S.A.  pe perioada realizării investiței   UAT judetul Timis - dupa finalizare       </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</si>
  <si>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07.01.2028</t>
  </si>
  <si>
    <t xml:space="preserve">Drum Expres Focșani-Brăila </t>
  </si>
  <si>
    <t>Termen contractual: 01.08.2026 (fara garantie)</t>
  </si>
  <si>
    <t xml:space="preserve">Sectiunea 1, lot 1: finalizat aprilie 2023
Sectiunea 1, lot 2 si Sectiunea 2: Estimat decembrie 2028 
Sectiunea 3: Estimat noiembrie 2027
Sectiunea 4: Estimat Februarie 2027
Sectiunea 5: Estimat August 2025
</t>
  </si>
  <si>
    <t>Construire cămin studențesc - Universitatea din București, Splaiul Independenței nr. 204, sector 6, municipiul București</t>
  </si>
  <si>
    <t>C.N.I. S.A pe perioada realizării investiței, Universitatea Bucuresti, dupa finalizare</t>
  </si>
  <si>
    <t>În proiectare, în curs de obținere avize/acorduri și autorizație de construire.</t>
  </si>
  <si>
    <t>Metrorex SA</t>
  </si>
  <si>
    <t xml:space="preserve">Magistrala 5. Drumul Taberei-Pantelimon
Secțiunea 1: 
Râul Doamnei-Eroilor, inclusiv Galeria de legătură, Stația și Depoul Valea Ialomiței
10 statii + 1 depou
 PIF:septembrie 2020
Se execută lucrări pt. implementarea observatiilor comisiei de receptie la terminarea lucrarilor
Sectiunea 2: 
Eroilor-Iancului  -În derulare Contractul pentru servicii de proiectare si asistenta tehnica. 
 Secțiunea 3: 
Iancului - Pantelimon 
Nu au fost demarate procedurile de realizare ale acestei sectiuni
</t>
  </si>
  <si>
    <t>Construire stadion "Gheorghe Hagi", Str. Primăverii, nr. 2-11, municipiul Constanța, județul Constanța</t>
  </si>
  <si>
    <t>C.N.I. S.A pe perioada realizării investiței, U.A.T Constanta, dupa finalizare</t>
  </si>
  <si>
    <t>Estimarea cheltuielilor s-a facut tinand cont de faptul ca procedura de achizitie a contractului de proiectare si executie aferenta obiectivului de investitii a fost finalizată. Astfel, in estimarea cheltuielilor si a termenului de finalizare au fost  estimate perioadele privind încheierea contractului de proiectare și execuție de lucrări. Precizăm că semnarea contractului  intră sub incidența art. IV din OUG 90/2023 și OUG 115/2023 privind unele măsuri fiscal-bugetare în domeniul cheltuielilor publice. Termen estimat finalizare 26.06.2027</t>
  </si>
  <si>
    <t>Metrorex</t>
  </si>
  <si>
    <t>MDLPA prin C.N.I. S.A. pe perioada realizării investiței, UAT Salonta după finalizare</t>
  </si>
  <si>
    <t>MDLPA prin C.N.I. S.A pe perioada realizării investiței, Consiliul Judetean Giugiu dupa finalizare</t>
  </si>
  <si>
    <t>“Complexuri sportive”,  obiectivul de investiții Construire Stadion "Nicolae Dobrin", Str. Nicolae Dobrin, nr. 10, municipiul Pitești, jud. Argeș”</t>
  </si>
  <si>
    <t>C.N.I. S.A pe perioada realizării investiței, U.A.T Pitesti după finalizare</t>
  </si>
  <si>
    <t>Estimarea cheltuielilor s-a facut tinand cont de faptul ca procedura de achizitie a contractului de proiectare si executie aferenta obiectivului de investitii a fost finalizată. Astfel, in estimarea cheltuielilor si a termenului de finalizare au fost  estimate perioadele privind încheierea contractului de proiectare și execuție de lucrări. Precizăm că semnarea contractului  intră sub incidența art. IV din OUG 90/2023 și OUG 115/2023 privind unele măsuri fiscal-bugetare în domeniul cheltuielilor publice.Termen estimat finalizare 26.12.2027</t>
  </si>
  <si>
    <t>Construire patinoar artificial, municipiul Sfântu Gheorghe, județ Covasna</t>
  </si>
  <si>
    <t>C.N.I. S.A pe perioada realizării investiței, U.A.T. Sf. Gheorghe Covasna, dupa finalizare</t>
  </si>
  <si>
    <t>Estimarea cheltuielilor s-a facut tinand cont de faptul ca procedura de achizitie a contractului de proiectare si executie aferenta obiectivului de investitii a fost finalizată. Astfel, in estimarea cheltuielilor si a termenului de finalizare au fost  estimate perioadele privind încheierea contractului de proiectare și execuție de lucrări. Precizăm că semnarea contractului  intră sub incidența art. IV din OUG 90/2023 și OUG 115/2023 privind unele măsuri fiscal-bugetare în domeniul cheltuielilor publice. Termen estimat finalizare 25.10.2027</t>
  </si>
  <si>
    <t>Construcție și dotări Centru pentru Optică de Mare Putere, str. Reactorului, nr. 30, orașul Măgurele, județul Ilfov</t>
  </si>
  <si>
    <t>C.N.I. S.A.  pe perioada realizării investiței Institutul Național de Cercetare Dezvoltare pentru Fizică și Inginerie Nucleară - “Horia Hulubei” (IFIN-HH) - dupa finalizare</t>
  </si>
  <si>
    <t>Estimarea cheltuielilor s-a facut tinand cont de faptul ca procedura de achizitie a contractului de proiectare si executie aferenta obiectivului de investitii a fost finalizată. Astfel, in estimarea cheltuielilor si a termenului de finalizare au fost  estimate perioadele privind încheierea contractului de proiectare și execuție de lucrări. Precizăm că semnarea contractului  intră sub incidența art. IV din OUG 90/2023 și OUG 115/2023 privind unele măsuri fiscal-bugetare în domeniul cheltuielilor publice. Termen estimat finalizare 16.02.2027</t>
  </si>
  <si>
    <t>„Construire și dotare Complex Sportiv Michael Klein, Bdul Mihai Viteazu, nr. 6A, municipiul Hunedoara, județul Hunedoara”</t>
  </si>
  <si>
    <t>C.N.I. S.A.  pe perioada realizării investiței UAT Municipiul Hunedoara - dupa finalizare</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</si>
  <si>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31.07.2027</t>
  </si>
  <si>
    <t>Sector 1: : Baldana – Targoviste  km 0+000 –  km 44+130 largire la 4 benzi de circulatie- estimat RTL: 31.08.2026
Sector 2: Targoviste - Sinaia  km 51+041-109+905 drum la doua benzi - estimat RTL: 15.10.2027</t>
  </si>
  <si>
    <t>Pentru acest obiectiv de investiții, există pe fluxul de avizare, o hotărâre de Guvern pentru modificarea indicatorilor tehnico-economici</t>
  </si>
  <si>
    <t>MDLPA prin C.N.I. S.A. pe perioada realizării investiței, UAT Brașov și UAT Prahova după finalizare</t>
  </si>
  <si>
    <t>În proiectare, autorizație de construire obținută pe zona jud. Prahova, în curs de elaborare proiect tehnic de execuție.Culoarul de expropiere a suferit modificari fata de cel realizat in cadrul studiului de fezabilitate.
Procedurile de expropriere se afla in derulare si sunt in sarcina Beneficiarilor finali, respectiv CJ Prahova si CJ Brasov.  Termenul de finalizare al lucrărilor de 28.03.2028 este estimat în funcție de data preconizată de începere a execuției lucrărilor autorizate și de prelungirea duratei de execuție datorate neeliberării amplasamentului.</t>
  </si>
  <si>
    <t>Pavilion deținere 500 locuri – Construire, municipiul Bistrița, jud. Bistrița Năsăud</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</si>
  <si>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Termen estimat finalizare 25.07.2026</t>
  </si>
  <si>
    <t>A1-DN7: 29.02.2024 a fost dispusa in Instanta Rezilierea Contractului (cu drept de apel), urmatoarea sedinta 03.09.2024                                                                                   
DN2-A2: Reziliat dec 2022 - Relicitat 2024                                                                   Termen de finalizare estimat 2028</t>
  </si>
  <si>
    <t>Tronson I : RTL noiembrie  2024
Tronson II, lot 1: RTL 21.04.2022
Tronson II, lot 2: RTL 27.07.2022
Tronson III: RTL 24,12,2023
Trosnon 4: RTL Trim noiembrie  2024</t>
  </si>
  <si>
    <t>Construire și dotare Complex Sportiv-Stadion Municipal 1 Mai, municipiul Slatina, B-dul Sfântul Constantin Brâncoveanu, nr. 1, județul Olt</t>
  </si>
  <si>
    <t>C.N.I. S.A.  pe perioada realizării investiței         UAT Municipiul Slatina - dupa finalizare</t>
  </si>
  <si>
    <t>Estimarea cheltuielilor s-a facut tinand cont de faptul ca obiectivul de investitii se afla in etapa de pregătire a procedurii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10.12.2027</t>
  </si>
  <si>
    <t xml:space="preserve">“Construire Centru național multirol, sat Izvorani, comuna Ciolpani, județul Ilfov” </t>
  </si>
  <si>
    <t>C.N.I. S.A.  pe perioada realizării investiței Serviciul Roman de Informatii - UM 0461 Bucuresti - dupa finalizare</t>
  </si>
  <si>
    <t>Estimarea cheltuielilor s-a facut tinand cont de faptul ca obiectivul de investitii se afla in etapa de pregătire a procedurii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  Termen estimat finalizare 07.12.2027</t>
  </si>
  <si>
    <t>Proiectul va fi implementat la nivelul CJ Bihor, contractele fiind semnate,, derulate si cheltuielile efectuate la nivelul acestuia, ele nefiind inscrise in PIP</t>
  </si>
  <si>
    <t>Deoarece proiectul nu a obtinut finantare din fonduri externe nerambursabile conform comunicare MIPE nr.6212/19.04.2023  finantarea acestui proiect se va asigura  din venituri proprii ANAR si buget de stat. Pentru corectarea erorii privind valoarea totală a obiectivului de investiții s-a solicitat MF corectarea acestei erori în fișă cod 1279.</t>
  </si>
  <si>
    <t>Deoarece proiectul nu a obtinut finantare din fonduri externe nerambursabile in anul 2024 s-au alocat resurse financiare din venituri proprii ANAR  pentru procedura de expropriere terenuri. Urmeaza sa se etapizeze proiectul pentru asigurare finantare din venituri proprii ANAR si buget de stat</t>
  </si>
  <si>
    <t>Magistrala 6. 1 Mai - Otopeni. Legatura retelei de metrou cu Aeroportul International Henri Coanda - Otopeni</t>
  </si>
  <si>
    <t>valoarea obiectivului a fost actualizata cu OMTI nr.1035 din 29.04.2024</t>
  </si>
  <si>
    <t>1.Referitor la col.8: Valoarea proiectulului a fost actualizata în anul 2013 și este de 340.508 mii lei.
2. Referitor la col.10, cheltuielile efectuate până la 31 dec. 2022 sunt în valoare de 269.336 mii lei. Precizăm ca în anul 2023 Distribuție Energie Electrică România S.A. a restituit suma de 800,55 mii lei, iar  aceeași sumă a fost restituită de CNCF CFR SA  la bugetul de stat cu OP nr.721/24.02.2023, astfel cheltuielile efectuate până la 31 dec.2023 au valoarea de 268.536 mii lei.</t>
  </si>
  <si>
    <t>Trim IV 2024</t>
  </si>
  <si>
    <t xml:space="preserve">suma de 193.309 mii lei inscrisa in coloana 8 este corecta, potrivit HG nr. 1267/2022, in PIP la 31.05.2024 nu sunt inscrise sumele aferente T 65 – Cheltuieli aferente programelor cu finantare rambursabila, respectiv 58.545 mii lei;
- - suma de 60.075 mii lei inscrisa in coloana 10 cheltuieli efectuate pana la 31.12.2023 este corecta, in PIP la 31.05.2024 nu sunt inscrise sumele aferente T 65 – Cheltuieli aferente programelor cu finantare rambursabila, respectiv 58.545 mii lei;
- - sumele inscrise in coloanele 11 si 12 sunt corecte, respectiv 278 mii lei cf. PIP la 31.05.2024 si 132.956 mii lei = 193.309 mii lei  Valoare actualizata a proiectului – 60.075 mii lei Cheltuieli efectuate pana la 31 decembrie a anului precedent -  278 mii lei Cheltuieli estimate pentru anul curent;  
- - se va actualiza F29 cod 1253 conform celor precizate mai sus. </t>
  </si>
  <si>
    <t xml:space="preserve">iin curs de desfasurare contractul nr. 442/12.07.2022 avand ca obiect servicii de proiectare actualizare valoare deviz general si liste de cantitati aferent rest de executat si asistenta tehnica. -             suma de 116.779 mii lei inscrisa in coloana 8 este corecta, potrivit HG nr. 312/2013, in PIP la 31.05.2024 nu sunt inscrise sumele aferente T 65 – Cheltuieli aferente programelor cu finantare rambursabila, respectiv 52.489 mii lei si T 71 – Constructii, respectiv 5.914 mii lei;
- - suma de 61.171 mii lei inscrisa in coloana 10 cheltuieli efectuate pana la 31.12.2023 este corecta, in PIP la 31.05.2024 nu sunt inscrise sumele aferente T 65 – Cheltuieli aferente programelor cu finantare rambursabila, respectiv 52.489 mii lei si T 71 – Constructii, respectiv 5.914 mii lei;
- - sumele inscrise in coloanele 11 si 12 sunt corecte, respectiv 2.188 mii lei cf. PIP la 31.05.2024 si 53.420 mii lei = 116.779 mii lei  Valoare actualizata a proiectului – 61.171 mii lei Cheltuieli efectuate pana la 31 decembrie a anului precedent -  2.188 mii lei Cheltuieli estimate pentru anul curent;  </t>
  </si>
  <si>
    <t>Anexa 2 la memorandum</t>
  </si>
  <si>
    <t>Buget alocat 2023</t>
  </si>
  <si>
    <t>Modernizarea infrastructurii portuare prin asigurarea creşterii adâncimilor şenalelor şi a bazinelor şi a siguranţei navigaţiei în Portul Constanţa (Finanțat din titlul 58.01 - Programul Operational Infrastructura Mare)</t>
  </si>
  <si>
    <t>Din punct de vedere fizic proiectul s-a finalizat în anul 2021, fiind în perioada de garanție; 
Suma de la valoarea actualizată a proiectului este suma din contractul de finanțare semnat între CN APM SA Constanța DGOIT (POIM 2014 - 2020)</t>
  </si>
  <si>
    <t xml:space="preserve">Proiectare si executie Drum de legatura DN5 - km 60+500 - Soseaua de Centura - Pod Prieteniei km 61+400 </t>
  </si>
  <si>
    <t>RTL 22.12.2021</t>
  </si>
  <si>
    <t>Constructia Variantei de Ocolire Caracal</t>
  </si>
  <si>
    <t>Finalizat 2020</t>
  </si>
  <si>
    <t>Desi lucrarile au fost in totalitate finalizate, in cadrul proiectului mai este necesar a se efectua plati pentru sentinte civile</t>
  </si>
  <si>
    <t>Modernizare DN 29, Suceava - Botosani km 0+000 - 39+071, Jud. Suceava si Jud. Botosani</t>
  </si>
  <si>
    <t>Finalizat 2015</t>
  </si>
  <si>
    <t>Modernizarea liniei de cale ferată București Nord - Aeroport Internașional Henri Coandă București - Faza I: Racord c.f. la Terminalul T1, Aeroport Internațional Henri Coandă București</t>
  </si>
  <si>
    <t>2021</t>
  </si>
  <si>
    <t>Receptia la terminarea lucrarilor a avut loc in anul 2021, iar in prezent este in perioada de garantie de 60 de luni.
Suma declarata in coloana 10 ca fiind cheltuieli efectuate pana la 31.12.2021 este compusa din 378.896 mii lei (cheltuieli efectuate pana la 31.12.2020), 18.699 mii lei (cheltuielile efectuate in anul 2021, avand sursa de finantare Titlul 58) și  135.195 mii lei  (cheltuielile efectuate in anul 2021, avand sursa de finantare MIE/CEF, cofinantare/TVA prin bugetul MIPE). Cu ocazia proximei rectificari bugetare, F29 va fi revizuit.</t>
  </si>
  <si>
    <t>Pod rutier la km 0+540 al Canalului Dunare - Marea Neagra şi lucrări aferente infrastructurii rutiere şi de acces în Port Constanţa (Finantat din titlul 56.01 -  Programe din Fond de Dezv. Regionala)</t>
  </si>
  <si>
    <t>Obiectiv de investiții finalizat în anul 2019 (recepție finală);
Suma de la valoarea actualizată a proiectului este suma din contractul de finanțare semnate între CN APM SA Constanța și AM POST 2007 - 2013</t>
  </si>
  <si>
    <t>„Pasaj denivelat superior pe DN21 km 105+500”</t>
  </si>
  <si>
    <t>ISPA 2000/RO/16/P/PT/002 - Largire la 4 benzi a DN 5, Adunatii Copaceni - Giurgiu</t>
  </si>
  <si>
    <t>Finalizat 2012</t>
  </si>
  <si>
    <t>Desi lucrarile au fost in totalitate finalizate, in cadrul proiectului mai este necesar a se efectua plati pentru sentinte civile
Valoarea actualizată a proiectului introdusa în PIP (Anexa 3/24/29) difera de cea din Anexa 3 din cauza diferentelor minore datorate cursului valutar utilizat. Astfel, precizam faptul ca am actualizat valoarea de proiect din cadrul Anexei 3 conform cu cea din PIP.</t>
  </si>
  <si>
    <t>Amenajări hidrotehnice în b.h. Niraj, jud. Mureș</t>
  </si>
  <si>
    <t xml:space="preserve">Lucrare finalizata. PVRTL nr. 17514/30.12.2015
In derulare asistenta juridica pentru expropriere terenuri, din suma ramasa de finantat se vor finaliza exproprierile. Stadiul fizic al lucrarilor este de 100%. </t>
  </si>
  <si>
    <t>”Ro-NET– Construirea unei infrastructuri naționale de broadband în zonele defavorizate, prin utilizarea fondurilor structurale”</t>
  </si>
  <si>
    <t xml:space="preserve">A fost încheiat Actul Adițional nr. 14 la Ordinul de finanțare nr.919/2016, prin care s-a prevăzut prelungirea termenului de finalizare pentru data de 30.09.2023.
Proiectul a fost finalizat 100% fizic, urmând ca în anul 2023 să se efectuaeze plățile aferente salariilor, auditului financiar si studiilor de coexistentă
Col 8 Suma din col 8 este corecta. Valoarea actualizata a proiectului este de  334.226 mii lei, diferenta de 130 mii lei fata de anexa la buget reprezinta cval modelului operational si a studiului de prefezabilitate, cheltuieli  care au fost suportate din Titlul 71 in anul 2011 si care au fost rambursate integral de catre AM. Am facut demersurile necesare catre MF ca la rectificare sa actualizam Anexa nr.29 - Fisa obiectivului de investitii , cf solicitarii MCID nr.Ro-Net 281/19.07.2023.
Col 10 Au fost actualizate chelt. pt anul 2022, cf adresa MF nr.477818/27.07.2023, iar chelt efectuate pana la 31.12.2021, vor fi actualizate la prima rectificate bugetara , cf solicitarii MCID nr. Ro-Net 281/19.07.2023, anexata.
</t>
  </si>
  <si>
    <t>Centura municipiului Rădăuti, jud. Suceava</t>
  </si>
  <si>
    <t>Reabilitare DN 66 Filiasi Petrosani km 0+000 - km 131+000, Sector km 48+900 - km 93+500,Rovinari-Bumbesti Jiu</t>
  </si>
  <si>
    <t>Finalizat 2017</t>
  </si>
  <si>
    <t>DN 18  Moisei – Iacobeni, km 131+627- km 220+088</t>
  </si>
  <si>
    <t>Lot 1: RTL 01.09.2021
Lot 2: RTL 19.12.2019
Lot 3: RF 15.12.2021
Lot 4: RTL 07.09.2020</t>
  </si>
  <si>
    <t>Desi lucrarile au fost in totalitate finalizate, in cadrul proiectului mai este necesar a se efectua plati pentru: sentinte civile, certificate finale, asistenta juridica, audit de siguranta rutiera, sentinte arbitrale etc.</t>
  </si>
  <si>
    <t>Reabilitare DN 17, Limita judetului Bistrita Nasaud/ Suceava - Suceava, km 116+000 - km 255+000</t>
  </si>
  <si>
    <t>Finalizat 2013</t>
  </si>
  <si>
    <t>Proiectul a fost derulat in conformitate cu Legea nr.500/2002,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	Legea nr.527/09.10.2001 pentru ratificarea Contractului de Finantare dintre Romania si Banca Europeană de Investiţii şi Administraţia Naţională a Drumurilor pentru finantarea proiectului de reabilitare a drumurilor Etapa IV
- Cod fisa 416: Reabilitare DN 17, Limita judetului Bistrita Nasaud/ Suceava - Suceava, km 116+000 - km 255+000
Desi lucrarile au fost in totalitate finalizate, in cadrul proiectului mai este necesar a se efectua plati pentru sentinte civile</t>
  </si>
  <si>
    <t>Constructia Variantei de Ocolire Bacau</t>
  </si>
  <si>
    <t>PVRTL 10.08.2021</t>
  </si>
  <si>
    <t>Valoare actualizata din anexa 3/24/29 de la legea bugetului de stat reprezinta valoarea de implementare a proiectului, conform contractelor semnat, respectiv estimate a fi semnate in perioada urmatoare</t>
  </si>
  <si>
    <t>Constructia Autostrazii Arad-Timisoara (inclusiv varianta de ocolire Arad), km 0+000 - km 44+500</t>
  </si>
  <si>
    <t>Receptie finala Arad-Timisoara: Finalizat decembrie 2018
Receptie finala VO Arad - Finalizat august 2017</t>
  </si>
  <si>
    <t>Desi lucrarile au fost in totalitate finalizate, in cadrul proiectului mai este necesar a se efectua plati pentru sentinte civile, sentinte arbitrale, etc.
In cadrul formularelor cod 23 aferente proiectelor cu finantare nerambursabila se cuprind toate cheltuielile aferente unui proiect,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</si>
  <si>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Constructia Variantei de Ocolire a Municipiului Brasov</t>
  </si>
  <si>
    <t>Finalizat 2019</t>
  </si>
  <si>
    <t>Desi lucrarile au fost in totalitate finalizate, in cadrul proiectului mai este necesar a se efectua plati pentru sentinte civile, sentinte arbitrale, etc.</t>
  </si>
  <si>
    <t>Constructia autostrazii Timisoara – Lugoj si variantei de ocolire a orasului Timisoara la standard de autostrada, km 44+500 - km 79+625</t>
  </si>
  <si>
    <t>Lot 1: Receptie Finala octombrie 2016
Lot 2: Receptie Finala decembrie 2019</t>
  </si>
  <si>
    <t>Desi lucrarile au fost in totalitate finalizate, in cadrul proiectului mai este necesar a se efectua plati pentru: sentinte civile, certificate finale, asistenta juridica, audit de siguranta rutiera, etc.</t>
  </si>
  <si>
    <t>Constructia Autostrazii Nadlac – Arad, km 0+000 - km 38+882</t>
  </si>
  <si>
    <t>Lot 1: RTL - 2015
Lot 2: RTL - 2015</t>
  </si>
  <si>
    <t>Reabilitare DN1C/19; DN 1C Baia Mare - Livada, km 155+125 - km 200+170; DN1C Livada - Halmeu, km 200+170 - km 216+630; DN19 Satu-Mare -  Livada, km 135+000 - km 150+000</t>
  </si>
  <si>
    <t>ISPA/2000/RO/16/P/PT/004 - Reabilitarea DN 6, sectiunea Craiova - Drobeta Turnu Severin</t>
  </si>
  <si>
    <t>Finalizat 2016</t>
  </si>
  <si>
    <t>Desi lucrarile au fost in totalitate finalizate, in cadrul proiectului mai este necesar a se efectua plati pentru sentinte civile
Valoarea actualizată a proiectului introdusa în PIP (Anexa 3/24/29) difera de cea din Anexa 3 din cauza diferentelor minore datorate cursului valutar utilizat. Astfel, precizam faptul ca am actualizat valoarea de proiect din cadrul Anexei 3 conform cu cea din PIP</t>
  </si>
  <si>
    <t>Reabilitare DN 56 Craiova-Calafat, km. 0+000 - km. 84+020</t>
  </si>
  <si>
    <t>Lot I : Finalizat.2019
Lot II: iunie.2021</t>
  </si>
  <si>
    <t>Constructia Variantei de Ocolire Deva-Orastie la standard de autostrada</t>
  </si>
  <si>
    <t>Desi lucrarile au fost in totalitate finalizate, in cadrul proiectului mai este necesar a se efectua plati pentru sentinte civile de terenuri
Valoarea actualizata a proiectului  a fost calculata in baza valoarii in euro din cadrul HG aferent ITE nr. 1293/2009 (365.027.195 euro) transformata in mii lei la un curs valutar estimat de 4,52 lei/euro, fata de cursul valutar de 4,2127 lei/euro utilizat in cadrul devizului general, anexa la HG nr. 1293/2009, luandu-se in considerare deprecierea cursului valutar.</t>
  </si>
  <si>
    <t>Reabilitare DN1H Zalau Alesd</t>
  </si>
  <si>
    <t>Desi lucrarile au fost in totalitate finalizate, in cadrul proiectului mai este necesar a se efectua plati pentru sentinte civile si lucrari de remediere</t>
  </si>
  <si>
    <t>Reabilitare DN 66 Filiasi - Petrosani km 0+000 - km 131+000 Sector km 93+500 - km 126+000, Bumbesti Jiu - Petrosani</t>
  </si>
  <si>
    <t>Reabilitare DN 19 Lim. Jud. Bihor – Satu Mare, km 75+896 - 128+057</t>
  </si>
  <si>
    <t>Finalizat 2011</t>
  </si>
  <si>
    <t>Reabilitare DN 19 Oradea – Lim. Jud. Bihor, km 5+853 - 75+896</t>
  </si>
  <si>
    <t>DN 18   Sighetul Marmatiei  - Moisei, km 62+234- km 131+627</t>
  </si>
  <si>
    <t>Finalizat 2014</t>
  </si>
  <si>
    <t>Proiect finalizat, restul de executat reprezinta diferenta intre HG-ITE si realizari
Desi lucrarile au fost in totalitate finalizate, in cadrul proiectului mai este necesar a se efectua plati pentru: sentinte civile, certificate finale, asistenta juridica, audit de siguranta rutiera, sentinte arbitrale etc.</t>
  </si>
  <si>
    <t>DN 18 - Baia Mare – Sighetul Marmatiei, km 3+522- km 62+234</t>
  </si>
  <si>
    <t>Reabilitare DN 1 , Sercaia  - Limita jud. Brasov/Sibiu km 220+000 - 261+130</t>
  </si>
  <si>
    <t>Valoarea actualizata a proiectului s-a majorat cu valoarea din Decizia Arbitrala ICC Case 18851/GZ/GFG/FS/09.11.2017</t>
  </si>
  <si>
    <r>
      <rPr>
        <sz val="12"/>
        <rFont val="Times New Roman"/>
        <family val="1"/>
        <charset val="238"/>
      </rPr>
      <t xml:space="preserve">Racorduri la reteaua de metrou din Bucuresti, tronsonul I Nicolae Grigorescu 2 - Anghel Saligny si tronsonul II Gara de Nord 2 - Basarab - Laminorului - Lac Straulesti </t>
    </r>
    <r>
      <rPr>
        <i/>
        <sz val="12"/>
        <rFont val="Times New Roman"/>
        <family val="1"/>
        <charset val="238"/>
      </rPr>
      <t>(Finantat prin programul sectorial Transporturi 2007-2013)</t>
    </r>
  </si>
  <si>
    <t>2018</t>
  </si>
  <si>
    <t xml:space="preserve"> 
2018 este termenul la care s-a finalizat lucrarea, respectiv doua statii si depoul Straulesti </t>
  </si>
  <si>
    <t>Reabilitare DN1C Dej – Baia Mare, km 61+500 - km 147+990</t>
  </si>
  <si>
    <t>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Legea nr.527/09.10.2001 pentru ratificarea Contractului de Finantare dintre Romania si Banca Europeană de Investiţii şi Administraţia Naţională a Drumurilor pentru finantarea proiectului de reabilitare a drumurilor Etapa IV</t>
  </si>
  <si>
    <t>Reabilitare DN1H Zalau - Rastoci, km 75+446 - km 128+823</t>
  </si>
  <si>
    <t xml:space="preserve">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 nr. 330 /22.11.2007 privind aprobarea Ordonanţei de urgenţă a Guvernului nr. 71/2007 pentru aprobarea Contractului de finanţare dintre România, Banca Europeană de Investiţii şi Compania Naţională de Autostrăzi şi Drumuri Naţionale din România - S.A. pentru finanţarea Proiectului privind reabilitarea drumurilor, Etapa a VI-a    </t>
  </si>
  <si>
    <t>Constructia Variantei de Ocolire a Municipiului Sibiu la standard de autostrada</t>
  </si>
  <si>
    <t>Lot 1: 2010 Finalizat
Lot 2: 2010 Finalizat</t>
  </si>
  <si>
    <t>Desi lucrarile au fost in totalitate finalizate, in cadrul proiectului mai este necesar a se efectua plati pentru sentinte civile de terenuri.
Valoarea actualizată a proiectului introdusa în PIP (Anexa 3/24/29) difera de cea din Anexa 3 din cauza diferentelor minore datorate cursului valutar utilizat. Avand in vedere ca prin amendamentul 6 la Memorandumul de Finantare a fost aprobata valoarea totala de 182.009.039,09 Euro, precizam faptul ca am actualizat valoarea de proiect din cadrul Anexei 3 conform cu cea din PIP.</t>
  </si>
  <si>
    <t>Constructie Autostrada Cernavoda-Constanta tronsoanele Cernavoda-Medgidia km 151+300- km 171+791 si Medgidia-Constanta km 170+750-km 201+570</t>
  </si>
  <si>
    <t>Cernavoda - Medgidia: Receptia finala din data de 28.06.2017
Medgidia - Constanta: Receptie Finala in data de 08.12.2015</t>
  </si>
  <si>
    <t>ISPA 2001/RO/16/P/PT/006 - Reabilitare DN 6,  Drobeta Turnu Severin - Lugoj</t>
  </si>
  <si>
    <t>Desi lucrarile au fost in totalitate finalizate, in cadrul proiectului mai este necesar a se efectua plati pentru sentinte civile
In cadrul Formularului cod 29 au fost cuprinse toate cheltuielile aferente proiectului,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</si>
  <si>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Reabilitare DN 14 Sibiu - Medias - Sighisoara, km 0+000 - km 51+100 si km 57+500 - km 89+400</t>
  </si>
  <si>
    <t>Reabilitare DN 15 Tg. Mures– Reghin, km 69+500- km 109+940 si DN15A Reghin – Saratel km 0+000 - km 46+597</t>
  </si>
  <si>
    <t xml:space="preserve">Largire la 4 benzi de circulatie DN 73 intre km. 7+000-11+100 si drum de legatura cu DN 73D </t>
  </si>
  <si>
    <t xml:space="preserve">Constructia Variantei de ocolire Craiova Sud </t>
  </si>
  <si>
    <t>Reabilitare DN 66 Petrosani - Simeria, km 136+000 - km 210+516</t>
  </si>
  <si>
    <t>Reabilitare DN 1 , Limita jud. Brasov/Sibiu - Veștem km 261+130 - 296+300</t>
  </si>
  <si>
    <t>Desi lucrarile au fost in totalitate finalizate, in cadrul proiectului mai este necesar a se efectua plati pentru: sentinte civile, certificate finale, asistenta juridica, audit de siguranta rutiera, sentinte arbitrale etc.
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Legea nr. 86/18.03.2003 pentru aprobarea Ordonanţei de urgenţă a Guvernului nr. 159/2002 privind ratificarea Contractului de finanţare dintre România şi Banca Europeană de Investiţii şi Administraţia Naţională a Drumurilor pentru finanţarea Proiectului de reabilitare a drumurilor, Etapa a V-a</t>
  </si>
  <si>
    <t>Varianta de ocolire Suceava 0+000 - 13+172</t>
  </si>
  <si>
    <t xml:space="preserve"> (contract reziliat)</t>
  </si>
  <si>
    <t>Varianta de ocolire Cluj Est</t>
  </si>
  <si>
    <t xml:space="preserve">Reabilitare DN 2D Focșani - Ojdula intre km 0+000- km 118+873 </t>
  </si>
  <si>
    <t>Drum de centura in municipiul Oradea - Etapa a II-a</t>
  </si>
  <si>
    <t>Constructia si Reabilitarea sectiunilor 4 Si 5 ale Autostrazii Bucuresti - Cernavoda Km 97+300 - Km151+480</t>
  </si>
  <si>
    <t>Sectorul 4: Drajna–Fetesti: finalizat 2007
Sectorul 5 Fetesti-Cernavoda: finalizat 2006</t>
  </si>
  <si>
    <t>Desi lucrarile au fost in totalitate finalizate, in cadrul proiectului mai este necesar a se efectua plati pentru sentinte civile de terenuri</t>
  </si>
  <si>
    <t>Masura ISPA 2000/RO/16/P/PT/001 - Reabilitarea liniei CF Bucuresti - Constanta</t>
  </si>
  <si>
    <t>375
(501)</t>
  </si>
  <si>
    <t>Vor fi transmise procesele verbale la terminare si procesele verbale finale. Avand in vedere finalizarea lucrarilor si plata tuturor litigiilor se va propune excluderea proiectului din PIP.</t>
  </si>
  <si>
    <t>Proiect de constructie a variantei de ocolire a Municipiului Constanta BERD 33391 - componenta poduri dobrogene si calamitati</t>
  </si>
  <si>
    <t>Finalizat 2018</t>
  </si>
  <si>
    <t>Desi lucrarile au fost in totalitate finalizate, in cadrul proiectului mai este necesar a se efectua plati pentru: sentinte civile, certificate finale, sentinte arbitrale etc.</t>
  </si>
  <si>
    <t>Reabilitare DN 1C, Cluj - Dej, km 8+300 - km 61+528</t>
  </si>
  <si>
    <t>Proiectul a fost derulat in conformitate cu Legea nr.500/2002,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	Legea nr.527/09.10.2001 pentru ratificarea Contractului de Finantare dintre Romania si Banca Europeană de Investiţii şi Administraţia Naţională a Drumurilor pentru finantarea proiectului de reabilitare a drumurilor Etapa IV
- Cod fisa 416: Reabilitare DN 1C, Cluj - Dej, km 8+300 - km 61+528
Desi lucrarile au fost in totalitate finalizate, in cadrul proiectului mai este necesar a se efectua plati pentru sentinte civile</t>
  </si>
  <si>
    <t>Sporire capacitate de circulatie pe centura Ploiesti Vest Km 0+000 - 12+850</t>
  </si>
  <si>
    <t>ANEXA 2 LA MEMORANDUM</t>
  </si>
  <si>
    <t>SF=100%</t>
  </si>
  <si>
    <t>Lista proiectelor de investiţii publice semnificative prioritizate</t>
  </si>
  <si>
    <t>Stadiu fizic
 (%)***</t>
  </si>
  <si>
    <t>Stadiu valoric (%)***</t>
  </si>
  <si>
    <t>Valoare actualizata a proiectului (mii lei)</t>
  </si>
  <si>
    <t>Cheltuieli efectuate pana la 31 decembrie a anului precedent (mii lei)****</t>
  </si>
  <si>
    <t xml:space="preserve">Cheltuieli estimate pentru anul curent (anul n)
(mii lei) </t>
  </si>
  <si>
    <t xml:space="preserve">Rest de finantat pana la finalizarea proiectului (mii lei) </t>
  </si>
  <si>
    <t>Termenul de finalizare al proiectului</t>
  </si>
  <si>
    <t>Observatii</t>
  </si>
  <si>
    <t>12=8-10-11</t>
  </si>
  <si>
    <t>Amenajarea complexă a râului Jiu în vederea aprobării împotriva inundațiilor a municipiului Craiova</t>
  </si>
  <si>
    <t>MMAP - ANAR - ABA JIU</t>
  </si>
  <si>
    <t>Lucrare finalizată. PVRTL nr.1732/30.01.2024. Obiect I Dumbrava RUCSORENI, Obiectiv II se recepționează în cursul lunii iunie 2024. În 2024 este în derulare contractul de scoatere din fond forestier și expropiere terenuri. Stadiul fizic al lucrărilor este de 100%</t>
  </si>
  <si>
    <t>Proiectul a fost realizat de către CNAIR SA in parteneriat cu CJ Bihor In conformitate cu parteneriatul de implementare nr. 92/91667/2021. Contractele au fost semnate, derulate si cheltuielile efectuate la nivelul autorutatilor locale, ele nefiind inscrise in PIP</t>
  </si>
  <si>
    <t>Receptia la Terminarea Lucrarilor
 a fost realizata in data de 29.08.2024</t>
  </si>
  <si>
    <t>Deși lucrările au fost in totalitate finalizate, în cadrul proiectului mai este necesar a se efectua plăți pentru sentințe civile aferente terenurilor precum și plăți aferente lucrărilor executate în cadrul contractului.</t>
  </si>
  <si>
    <t>RTL 2024</t>
  </si>
  <si>
    <t>Terminal Plecări Curse Externe aeroport international Timisoara Traian Vuia</t>
  </si>
  <si>
    <t>DTA</t>
  </si>
  <si>
    <t>Valoarea aprobată/actualizată a proiectului este de 192.120 mii lei, din  care, valoarea de 135.474 mii lei reprezintă finanțarea FN (fonduri naționale) + FEN (fonduri externe nerambursabile) + CN (cheltuieli neeligibile - TVA aferent cotei eligibile - FN + FEN). 
Diferența dintre 192.120 mii lei și 135.471 mii lei, adică suma de 56.649 mii lei reprezintă partea de contribuție a Aeroportului Internațional Timișoara „Traian Vuia”.
Din valoarea totală a contractului de finanțare de 192.120 mii lei, a fost utilizată până la data de 31.12.2023, suma de 188.196 mii lei.
La această dată, AITTV are de achitat către furnizori suma de 2.632 mii lei, pentru produsele și serviciile care nu au putut fi achitate până la data de 31.12.2023.
Suma de 1.292 mii lei reprezintă partea de economie a contractului care nu va fi necesară de finanțat. 
Conform Actului adițional nr.3/20.12.2023, termenul de implementare al proiectului este 31.12.2024, proiectul fiind declarat nefuncțional.</t>
  </si>
  <si>
    <t>RTL sept 2024</t>
  </si>
  <si>
    <t>PVRLT23.11.2023</t>
  </si>
  <si>
    <t>Desi lucrarile au fost in totalitate finalizate, in cadrul proiectului mai este necesar a se efectua plati pentru sentinte civile aferente terenurilor</t>
  </si>
  <si>
    <t>In 30.05.2024 a fost semnata receptia la terminarea lucrarilor, fiind in perioada de garantie de 5 ani.</t>
  </si>
  <si>
    <t xml:space="preserve">Lucrarile au fost  finalizare si receptionate la terminare in 2019. In prezent, se efectueaza activitatile de inchidere a mentiunilor din procesul verbal la terminare pentru efectuarea receptiei finale. Recepția finala a avut loc in noiembrie 2023 cu 90 de zile pentru remedierea observatiilor sesizate. De asemenea, mai sunt litigii pe rol
Valoarea platilor se efectueaza de la bugetul de stat din Titlul 56 - Proiecte cu Finantare din Fonduri Externe Nerambursabile Postaderare, proiectul fiind finantat initial prin POST 2007-2013 </t>
  </si>
  <si>
    <t>Contractul de finanțare a fost finalizat la data de 31.12.2023, stadiul fizic și financiar fiind în procent de 100%.
Suma de 998 mii lei prevăzută în acest tabel nu mai este necesară pentru anul 2024 sau anii următori, întrucât reprezintă partea de economie a proiectului care nu s-a utilizat, fără a fi afectați indicatorii fizici ai proiectului.</t>
  </si>
  <si>
    <t xml:space="preserve">Lot 1: SF: 100%
Deschidere trafic respectiv 14,8 km Autostrada, bretele 5,6 – Nod rutier Sebes, bretele 1,3 – Nod rutier Alba Iulia Nord si Nod Rutier Alba Iulia Sud - 03.12.2020;
Deschidere integrala bretele 1 si 2 Nod rutier Sebes - 15.07.2021;
Deschidere integrala a Nodului rutier Sebes, respectiv bretele 3 si 4 - 30.07.2021;
Deschidere integrala a autotrazii, respectiv km 15+500 - km 17+000, inclusiv Nod rutier Alba Iulia Nord - 30.11.2021 - PVRTL nr. 65532 din 21.12.2021
Lot 2: SF: 96,00%
Traficul deschis pe data de 30.11.2021. 
RTL estimat - decembrie 2024
Lot 3: Receptie la Terminarea Lucrarilor - iulie 2018
Lot 4: Receptie la Terminarea Lucrarilor - iulie 2018
Receptie finala - 24.04.2023
Nod rutier Dumbrava - DRDP Cluj 
</t>
  </si>
  <si>
    <t xml:space="preserve">Pentru lotul 1 a fost relizata receptie la terminarea lucrarilor in data de 21.12.2021, in anexa fiind prevazute o serie de lucrari ramase de executat, astfel stadiul fizic raportat nu este 100%. 
Nodul rutier Dumbrava nu mai face parte din proiect.
NU este necesara revizuirea indicatorilor tehnico-economici.
In cadrul proiectului au mai ramas de decontat si cheltuieli aferente eventualelor sentinte arbitrale si/sau sentinte aferente achizitiilor de terenuri.
</t>
  </si>
  <si>
    <t>Lot 1: Receptie Finala 04.08.2020
Lot 2: Receptie Finala 18.12.2020</t>
  </si>
  <si>
    <t xml:space="preserve">C.N.A.I.R. </t>
  </si>
  <si>
    <t>Lot 1: Receptie Finala octombrie 2016; Lot 2: Receptie Finala decembrie 2019</t>
  </si>
  <si>
    <t>Desi lucrarile au fost in totalitate finalizate, in cadrul proiectului mai este necesar a se efectua plati pentru sentinte civile, sentinte arbitrale, etc. In cadrul formularelor cod 23 aferente proiectelor cu finantare nerambursabila se cuprind toate cheltuielile aferente unui proiect,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</si>
  <si>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Desi lucrarile au fost in totalitate finalizate, in cadrul proiectului mai este necesar a se efectua plati pentru sentinte civile de terenuri
Valoarea actualizata a proiectului  a fost calculata in baza valorii in euro din cadrul HG aferent ITE nr. 1293/2009 (365.027.195 euro) transformata in mii lei la un curs valutar estimat de 4,52 lei/euro, fata de cursul valutar de 4,2127 lei/euro utilizat in cadrul devizului general, anexa la HG nr. 1293/2009, luandu-se in considerare deprecierea cursului valutar.</t>
  </si>
  <si>
    <t>Constructia Variantei de Ocolire Sibiu la standard de autostrada</t>
  </si>
  <si>
    <t>Lot 1: 2010 Finalizat; Lot 2: 2010 Finalizat</t>
  </si>
  <si>
    <t>Constructia autostrazii Cernavoda-Constanta</t>
  </si>
  <si>
    <t>Desi lucrarile au fost in totalitate finalizate, in cadrul proiectului mai este necesar a se efectua plati pentru sentinte civile, sentinte arbitrale, etc.In cadrul formularelor cod 23 aferente proiectelor cu finantare nerambursabila se cuprind toate cheltuielile aferente unui proiect,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</si>
  <si>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Lot 1: RTL Iunie 2015
Remediere Defectiuni RT 29.12.2021
Lot 2: RF 03.12.2015</t>
  </si>
  <si>
    <t>Reabilitare DN56, Craiova - Calafat, km 0+000 – km 84+020</t>
  </si>
  <si>
    <t>Lot I : RTL 19.06.2019
Lot II: RTL 11.06.2021</t>
  </si>
  <si>
    <t>Reabilitare DN 66 Filiasi - Petrosani, km 0+000-km 131+000,  km 48+900 - km 93+500</t>
  </si>
  <si>
    <t>5R2A: RF 07.08.2020
5R3: RF 03.12.2021</t>
  </si>
  <si>
    <t>Reabilitare DN 66 Filiasi - Petrosani,  km 0+000-km 131+000,  km 93+500 - km 126+000</t>
  </si>
  <si>
    <t xml:space="preserve">Constructia Variantei de Ocolire Bacau </t>
  </si>
  <si>
    <t>PVRTL: 10.08.2021</t>
  </si>
  <si>
    <t xml:space="preserve">Constructia Variantei de Ocolire a Municipiului Brasov </t>
  </si>
  <si>
    <t>Tronson I : RF 19.12.2019
Tronson I: RF 14.12.2021
Tronson 3: RF 07.01.2016</t>
  </si>
  <si>
    <t>Contractele aferente proiectului sunt finalizate</t>
  </si>
  <si>
    <t>Reabilitare DN 18 Baia Mare - Sighetu Marmaţiei - Moisei - Iacobeni km 3+522 - km 62+234 (sector km 15+000 - km 62+234), km 69+790 - km 131+627, km 131+627 - km 220+088</t>
  </si>
  <si>
    <t xml:space="preserve">P.V.R.T.L. nr. 7135/05.11.2020
P.V.R.T.L. nr. 11/20.02.2014
P.V.R.F. nr. 2956/21.09.2016 Lot 1 - km 131+327 - km 156+232:                                                                                            P.V.R.T.L. nr. 42084/01.09.2021
Lot 2 - km 156+232-km 180+850:                                       P.V.R.T.L. nr. 75925/19.12.2019
Lot 3 - km 180+850-km 199+400: 
P.V.R.T.L. nr.2/31118/05.12.2019
Lot 4 - km 199+400-km 220+088: </t>
  </si>
  <si>
    <t>Desi lucrarile au fost in totalitate finalizate, in cadrul proiectului mai este necesar a se efectua plati pentru: sentinte civile</t>
  </si>
  <si>
    <t xml:space="preserve">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 nr. 330 /22.11.2007 privind aprobarea Ordonanţei de urgenţă a Guvernului nr. 71/2007 pentru aprobarea Contractului de finanţare dintre România, Banca Europeană de Investiţii şi Compania Naţională de Autostrăzi şi Drumuri Naţionale din România - S.A. pentru finanţarea Proiectului privind reabilitarea drumurilor, Etapa a VI-a    </t>
  </si>
  <si>
    <t xml:space="preserve">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Legea nr. 330 /22.11.2007 privind aprobarea Ordonanţei de urgenţă a Guvernului nr. 71/2007 pentru aprobarea Contractului de finanţare dintre România, Banca Europeană de Investiţii şi Compania Naţională de Autostrăzi şi Drumuri Naţionale din România - S.A. pentru finanţarea Proiectului privind reabilitarea drumurilor, Etapa a VI-a    </t>
  </si>
  <si>
    <t xml:space="preserve">ISPA 2001/RO/16/P/PT/006 - Reabilitare DN 6,  Drobeta Turnu Severin - Lugoj </t>
  </si>
  <si>
    <t xml:space="preserve">Desi lucrarile au fost in totalitate finalizate, in cadrul proiectului mai este necesar a se efectua plati pentru sentinte civile
Valorile introduse în PIP (Anexa 3/24/29) difera de cele din Anexa 3 din cauza faptului că la momentul elaborării legii proiectului legii bugetului de stat F29 nu a fost actualizat. </t>
  </si>
  <si>
    <t>Constructia Variantei de Ocolire a Municipiului Constanta la standard de autostrada, km 0+000 - km 21+775</t>
  </si>
  <si>
    <t>PVRTL 10.05.2021</t>
  </si>
  <si>
    <t>Tronson 1:  P.V.R.T.L. 17/4939/08.09.2020
Tronson 2: Estimat Trim IV 2023
Tronson 3: P.V.R.T.L. nr. 17/669/07.02.2019</t>
  </si>
  <si>
    <t xml:space="preserve">Contract reziliat. Suma de 399.935 mii lei inscrisa in coloana 8 este corecta, potrivit HG nr. 416/2018, in PIP la 31.05.2024 nu sunt inscrise sumele aferente T 56 si T 58, 7518 mii lei si respective 222 mii;
- cu ocazia rectificării bugetare se va actualiza F29 cod 364 conform celor precizate mai sus. </t>
  </si>
  <si>
    <t xml:space="preserve">
P.V.R.T.L. nr. 20/2054/17.09.2010; 
P. V.R.F. 27/113/01.10.2013</t>
  </si>
  <si>
    <t xml:space="preserve">Desi lucrarile au fost in totalitate finalizate, in cadrul proiectului mai este necesar a se efectua plati pentru sentinte civile.  suma de 161.835 mii lei inscrisa in coloana 8 este corecta, potrivit HG nr. 868/2009, in PIP la 31.05.2024 nu sunt inscrise sumele aferente T 84.10.55.01 – Transporturi – Titlul VII Alte Transferuri – A Transferuri Interne – Investitii ale agentilor economici cu capital de stat, respectiv 21 mii lei;
-cu ocazia rectificării se va actualiza F29 cod 352 conform celor precizate mai sus. </t>
  </si>
  <si>
    <t xml:space="preserve">Reabilitare DN 2D Focsani - Ojdula intre km 0+000- km 118+873 </t>
  </si>
  <si>
    <t xml:space="preserve">
P.V.R.F. nr. 19/2663/25.05.2017  - Lot 2 km 50+000 - km 95+000
P.V.R.T.L. nr. 64/70/03.03.2016 - lot 3 km 95+000-101+950, 102+075-118+873
P.V.R.F. nr. 60/1111/21.08.2018 - lot 3 km 95+000-101+950, 102+075-118+873
P.V.R.T.L. nr. 60/1381/25.10.2018 - sector km 101+950 - km 102+075
P.V.R.F. nr. SD/20/IE/22792/19.11.2020 - sector km 101+950 - km 102+075</t>
  </si>
  <si>
    <t>P.V.R.F. nr. 30096/07.05.2016 - Troson I km 0+000-4+575 si 6+982-8+592
P.V.R.F. nr. 30079/07.05.2019 - Troson II km 8+592-17+940
P.V.R.F. nr. 71321/27.11.2017 - Troson I 4+575-6+982</t>
  </si>
  <si>
    <t xml:space="preserve">P.V.R.T.L. nr. 7999/25.02.2016 - Etapa a II-a - Reparatie pod vechi Crisul Repede
P.V.R.T.L. nr. 70407/21.11.2017 și nr. 70408/21.11.2017 - Etapa a II-a - Sector Etapa a III-a - 1,78 km intre km 13+933 al drumului de centura si DN1 
P.V.R.F. nr. 36436/03.08.2018 - Etapa a II-a - Reparatie pod vechi Crisul Repede
P.V.R.F. nr. 2433/14.01.2021 și nr. 2432/14.01.2021 - Etapa a II-a - Sector Etapa a III-a - 1,78 km intre km 13+933 al drumului de centura si DN1 </t>
  </si>
  <si>
    <t xml:space="preserve">Centura municipiului Radauti, jud. Suceava </t>
  </si>
  <si>
    <t>RTL 19.11.2020</t>
  </si>
  <si>
    <t>Proiectare si Executie Drum de Legatura
DN 5 KM 60+500 – Soseaua de Centura – Pod Prieteniei KM 61+400</t>
  </si>
  <si>
    <t>Constructia Variantei de Ocolire
 Caracal</t>
  </si>
  <si>
    <t>RF 10.11.2020</t>
  </si>
  <si>
    <t>RF 19.03.2019</t>
  </si>
  <si>
    <t>Reabilitare DN 76, Deva - Oradea, km 0+000 – km 184+390</t>
  </si>
  <si>
    <t>5R11: RTL 08.06.2022
5R12: R.T.L. 23.12.2021
5R14- sector 2: R.T.L. 14.12.2021
5R14- sector 3: R.T.L.14.12.2021
5R14- sector 1: R.T.L. 15.06.2022
5R10A: RF 23.04.2020
5R10B: RF 19.12.2018
5R13: RTL 18.04.2019</t>
  </si>
  <si>
    <t>Pasaj suprateran pe DJ 602 Centura Bucuresti - Domnesti</t>
  </si>
  <si>
    <t>Receptie 16.11.2022</t>
  </si>
  <si>
    <t xml:space="preserve"> RTL 26.05.2023</t>
  </si>
  <si>
    <t>Desi lucrarile au fost in totalitate finalizate, in cadrul proiectului mai este necesar a se efectua plati aferente unui litigiu cu Antreprenorul aflat in curs de derulare</t>
  </si>
  <si>
    <t>Constructia Autostrazii Orastie - Sibiu, km 0+000 - km 82+070</t>
  </si>
  <si>
    <t>Lot 1: Recptie finala 2018
Lot 2: Receptie finala - noiembrie 2018
Lot 3: in circulatie finalizat
Lot 4: RTL 2014</t>
  </si>
  <si>
    <t>Contractul de Proiectare si Executie Orastie-Sibiu Lot 3 km 43+855-km 65+965 cu nr. 92/28516/20.05.2011 a fost reziliat prin adresa nr. 92/3908/27.01.2016. 
Nu consideram necesara reavizarea indicatorilor tehnico - economici pentru renuntarea definitiva la realizarea acestor lucrari.
Proiectul este necesar a fi mentinut in PIP deoarece in cadrul acestuia mai este necesar a se efectua plati pentru sentinte civile, sentinte arbitrale, etc.</t>
  </si>
  <si>
    <t>Modernizare DN 5 sectorul Bucuresti - Adunatii Copaceni</t>
  </si>
  <si>
    <t xml:space="preserve">PVSRTL 19A/25057/19.07.2022)
Antreprenorul a solicitat in instanta suspendarea si ulterior anularea executarii actului administrativ PVSRTL 19A/25057/19.07.2022. 
Stadiu: cererile Antreprenorului au fost respinse de catre Tribunalul Dambovita si Curtea de Apel Ploiesti
</t>
  </si>
  <si>
    <t>Reabilitarea DN 79 Arad - Oradea, km 4+150 ÷ km 107+745</t>
  </si>
  <si>
    <t>418
(1457)</t>
  </si>
  <si>
    <t>Contract reziliat conform act. nr. 92/61015/18.09.2020 - litigiu - Hotărârea Arbitrală Finală din data de 26.04.2023 pronunțată de Curtea Internațională de Arbitraj ICC Paris în dosarul Arbitral nr. ICC 25700/HBH</t>
  </si>
  <si>
    <t xml:space="preserve">potrivit sentintei pronuntata in dosarul nr. 25700/HBH din data de 26.04.2023 a Tribunalului Arbitral ICC Paris a fost recunoscuta rezilierea contractului fiind recunoscuta finalizarea a 99,7% din lucrari. urmare rezilierii contractului au ramas de executat: - Podul de la km 41+579 (pentru care este necesara executia unui pod nou) - Parcarile de la km 21+900 (stanga + dreapta) si 52+900 (stanga +dreapta); - intersectia giratorie de la km 76+640; - treceri la nivel cu calea ferata de la km 12+903, km 40+695, km 71+335; - finalizare poduri km 86+223, km 87+365, km 91+702, km 95+256, km 102+83, - finalizare relocari utilitati (apa, gaz si electrice), in consecinta sumele alocate pentru anul 2024 au ca destinatie realizarea Podului pe DN 79 km 41+579 peste Crisul Alb la Chisineu Cris. </t>
  </si>
  <si>
    <t xml:space="preserve">Fluidizarea traficului pe DN1 intre km 8+100 - 17+100 si Centura Rutiera in zona de Nord a Mun. Bucuresti </t>
  </si>
  <si>
    <t xml:space="preserve">
Obiect 5A PVRTL 5793/25.01.2013
Obiect 5B: P.V.R.T.L. nr. 2512/17.01.2011;    
P.V.R.F. nr. 8/21721/13.01.2015</t>
  </si>
  <si>
    <t>Desi lucrarile au fost in totalitate finalizate, in cadrul proiectului mai este necesar a se efectua plati pentru sentinte civile.Valoarea totala a proiectului inscrisa in PIP (Anexa 3/24/29) reprezinta valoarea de executie a proiectului asa cum au fost semnate si implementate contractele de achizitie publica pentru toate obiectivele, respectiv 1A, 1B, 1C, 1D, 2,3,4, 5A si 5B. Mentionam ca stadiul fizic este 99% deoarece pentru obiectivul 5A a fost realizata Receptia la Terminarea Lucrarilor, urmand ca pe perioada de garantie sa fie efectuate lucrarile ramase de executat. Pentru toate celelalte obiective a fost efectuata inclusiv Receptia Finala.</t>
  </si>
  <si>
    <t>Fluidizarea traficului pe DN 1 intre km 8+100 - 17+100 si centura Rutiera  in zona de nord a Municipiului Bucuresti - Ob.6</t>
  </si>
  <si>
    <t>Finalizat 2017
P.V.R.T.L. nr. 5793/25.01.2013</t>
  </si>
  <si>
    <t>Desi lucrarile au fost in totalitate finalizate, in cadrul proiectului mai este necesar a se efectua plati pentru sentinte civile. Pentru acest proiect a fost efectuata Receptia la Terminarea Lucrarilor, in perioada de garaintie Antreprenorul avand de efectuat lucrari pentru marcaje rutiere si parapeti.</t>
  </si>
  <si>
    <t>Fluidizarea traficului pe DN1 intre km 8+100 - 17+100 si Centura Rutiera in zona de Nord a Mun. Bucuresti - Ob. 7</t>
  </si>
  <si>
    <t>P.V.R.T.L. NR. 58375/06.09.2013 - Executie lucrari strat uzura si montare separator de sens
P.V.R.T.L. nr. 44/218946/22.11.2021 - Actualizare PT+DE+Executie lucrari pentru finalizarea obiectivului Gard de protectie cazarma 3270 Mogosoaia
P.V.R.T.L. nr. 8/45621/17.12.2021 - Proiectare si executie Pasaj Mogosoaia pe Centura Bucuresti, peste DN 1A</t>
  </si>
  <si>
    <t xml:space="preserve">Magistrala 4. „Racorduri la reţeaua de metrou din Bucureşti, </t>
  </si>
  <si>
    <t xml:space="preserve"> Metrorex </t>
  </si>
  <si>
    <t xml:space="preserve">proiectul a fost finalizat din finanțare aprobata pe anul 2023 din T51-Transferuri pentru finantarea proiectului de investitii la metrou se vor face plati pentru litigiile pe exproprieri </t>
  </si>
  <si>
    <t>Modernizarea infrastructurii privind siguranta circulatiei pe DN1, in sate lineare si puncte negre</t>
  </si>
  <si>
    <t>LOT 5 decembrie 2021
LOT 7 - septembrie 2022</t>
  </si>
  <si>
    <t>Loturile 1-4 au fost reziliate si nu vor mai fi implementate in cadrul proiectului.
Astfel, termenul de finalizare al proiectului este cel inscris la lot 7 - septembrie 2022</t>
  </si>
  <si>
    <t>decembrie 2024</t>
  </si>
  <si>
    <t>PVRLT 2024</t>
  </si>
  <si>
    <t>Desi PVRTL a fost emis, in cadrul proiectului mai este necesar a se efectua plati aferente contractului de executie lucrari</t>
  </si>
  <si>
    <r>
      <t xml:space="preserve">Modernizarea liniei feroviare Caransebes-Timisoara-Arad. </t>
    </r>
    <r>
      <rPr>
        <i/>
        <sz val="10"/>
        <rFont val="Times New Roman"/>
        <family val="1"/>
      </rPr>
      <t>(finantat din PNRR si buget de stat prin bugetul MIPE  si din POIM 2014-2020 de la titlul 58.03-Programe din Fondul de Coeziune)</t>
    </r>
  </si>
  <si>
    <r>
      <t xml:space="preserve">Magistrala 5 Drumul Taberei - Pantelimon. </t>
    </r>
    <r>
      <rPr>
        <i/>
        <sz val="10"/>
        <rFont val="Times New Roman"/>
        <family val="1"/>
      </rPr>
      <t xml:space="preserve">(Imprumut BEI, Programul Operational Sectorial Transporturi 2007-2013,  Programul Operațional Infrastructură Mare aferent cadrului financiar 2014-2020) </t>
    </r>
  </si>
  <si>
    <t xml:space="preserve">Au fost efectuate receptii finale pe loturile de lucrari de infrastructura, suprastructura si lucrari civile dupa cum umreaza: 
Lot Coslariu-Micasasa -  aprilie 2023
Lot Micasasa-Atel - marite 2024
Lot Atel-Sighisoara - mai 2023
Mai sunt de finalizat lucrarile/testarile aferente Lot ERTMS, se estimează efectuarea recepțiilor la terminare pentru Lot ERTMS in 2024.
Mai sunt litigii pe rol in cadrul proietului. Valoarea platilor se efectueaza de la bugetul de stat din Titlul 58 Proiecte cu Finanțare din Fonduri Externe Nerambursabile aferente cadrului financiar 2014-2020 aferent perioadei 2014-2020, </t>
  </si>
  <si>
    <t xml:space="preserve">Desi lucrarile au fost in totalitate finalizate, in cadrul proiectului mai este necesar a se efectua plati pentru: sentinte civile aferente terenurilor, lucrari executate, hotarari arbitrale.
- Valoarea totala de proiect in cuantum de 1.799.320 mii lei conform HG urilor de aprobare a indicatorilor tehnico economici, cuprinde atat sumele aferente proiectului Constructia Variantei de Ocolire a Municiupiului Constanta la standard de autostrada, cat si componenta aferenta podurilor dobrogene si calamitati. </t>
  </si>
  <si>
    <t>Varianta de ocolire a municipiului Satu Mare</t>
  </si>
  <si>
    <t>RTL: Iulie 2022
[PVRTL nr. 1698E din data de 07.07.2022, inregistrat la CNAIR – Arhiva cu nr. 135/14.07.2022 (aprobat de DG CNAIR in data de 12.07.2022)]
Perioada de Garantie (PND): 24 luni</t>
  </si>
  <si>
    <t>mti</t>
  </si>
  <si>
    <t>mmap</t>
  </si>
  <si>
    <t>total 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</si>
</sst>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l_e_i_-;\-* #,##0.00\ _l_e_i_-;_-* \-??\ _l_e_i_-;_-@_-"/>
    <numFmt numFmtId="165" formatCode="0\ %"/>
    <numFmt numFmtId="166" formatCode="0.00\ %"/>
    <numFmt numFmtId="167" formatCode="* #,##0.00&quot;      &quot;;\-* #,##0.00&quot;      &quot;;* \-#&quot;      &quot;;@\ "/>
    <numFmt numFmtId="168" formatCode="dd/mm/yyyy"/>
    <numFmt numFmtId="169" formatCode="#"/>
    <numFmt numFmtId="170" formatCode="#,##0;[Red]#,##0"/>
    <numFmt numFmtId="171" formatCode="[$-409]d/mmm/yy;@"/>
    <numFmt numFmtId="172" formatCode="* #,##0&quot;      &quot;;\-* #,##0&quot;      &quot;;* \-#&quot;      &quot;;@\ "/>
    <numFmt numFmtId="173" formatCode="_-* #,##0\ _l_e_i_-;\-* #,##0\ _l_e_i_-;_-* \-??\ _l_e_i_-;_-@_-"/>
    <numFmt numFmtId="174" formatCode="#,##0.0000"/>
  </numFmts>
  <fonts count="64">
    <font>
      <sz val="10"/>
      <name val="Arial"/>
      <family val="2"/>
      <charset val="238"/>
    </font>
    <font>
      <sz val="11"/>
      <color rgb="FF333333"/>
      <name val="Arial"/>
      <family val="2"/>
      <charset val="238"/>
    </font>
    <font>
      <sz val="11"/>
      <color rgb="FF000000"/>
      <name val="Calibri"/>
      <family val="2"/>
      <charset val="238"/>
    </font>
    <font>
      <sz val="11"/>
      <color rgb="FF000000"/>
      <name val="Arial"/>
      <family val="2"/>
      <charset val="238"/>
    </font>
    <font>
      <sz val="10"/>
      <name val="Arial"/>
      <family val="2"/>
      <charset val="1"/>
    </font>
    <font>
      <sz val="10"/>
      <color rgb="FF000000"/>
      <name val="Arial1"/>
      <charset val="1"/>
    </font>
    <font>
      <sz val="12"/>
      <name val="Times New Roman"/>
      <family val="1"/>
      <charset val="238"/>
    </font>
    <font>
      <b/>
      <sz val="12"/>
      <name val="Times New Roman"/>
      <family val="1"/>
      <charset val="238"/>
    </font>
    <font>
      <sz val="12"/>
      <name val="Times New Roman"/>
      <family val="1"/>
      <charset val="1"/>
    </font>
    <font>
      <b/>
      <sz val="12"/>
      <name val="Times New Roman"/>
      <family val="1"/>
      <charset val="1"/>
    </font>
    <font>
      <b/>
      <sz val="15"/>
      <name val="Times New Roman"/>
      <family val="1"/>
      <charset val="238"/>
    </font>
    <font>
      <sz val="11"/>
      <name val="Calibri"/>
      <family val="2"/>
      <charset val="238"/>
    </font>
    <font>
      <sz val="12"/>
      <color rgb="FF000000"/>
      <name val="Times New Roman"/>
      <family val="1"/>
      <charset val="238"/>
    </font>
    <font>
      <sz val="12"/>
      <name val="Oswald"/>
      <charset val="1"/>
    </font>
    <font>
      <sz val="12"/>
      <color rgb="FF000000"/>
      <name val="Times New Roman"/>
      <family val="1"/>
      <charset val="1"/>
    </font>
    <font>
      <sz val="11"/>
      <color rgb="FF000000"/>
      <name val="Times New Roman"/>
      <family val="1"/>
      <charset val="1"/>
    </font>
    <font>
      <sz val="12"/>
      <name val="Oswald"/>
      <charset val="238"/>
    </font>
    <font>
      <sz val="11"/>
      <name val="Times New Roman"/>
      <family val="1"/>
      <charset val="238"/>
    </font>
    <font>
      <sz val="11"/>
      <name val="Times New Roman"/>
      <family val="1"/>
      <charset val="1"/>
    </font>
    <font>
      <b/>
      <sz val="12"/>
      <name val="Calibri"/>
      <family val="2"/>
      <charset val="1"/>
    </font>
    <font>
      <sz val="12"/>
      <name val="Calibri"/>
      <family val="2"/>
      <charset val="1"/>
    </font>
    <font>
      <b/>
      <sz val="12"/>
      <color rgb="FFFF0000"/>
      <name val="Calibri"/>
      <family val="2"/>
      <charset val="1"/>
    </font>
    <font>
      <sz val="12"/>
      <color rgb="FF0070C0"/>
      <name val="Times New Roman"/>
      <family val="1"/>
      <charset val="238"/>
    </font>
    <font>
      <sz val="12"/>
      <name val="Arial"/>
      <family val="2"/>
      <charset val="1"/>
    </font>
    <font>
      <b/>
      <sz val="12"/>
      <name val="Arial"/>
      <family val="2"/>
      <charset val="238"/>
    </font>
    <font>
      <i/>
      <sz val="12"/>
      <name val="Arial"/>
      <family val="2"/>
      <charset val="238"/>
    </font>
    <font>
      <sz val="10"/>
      <color rgb="FF000000"/>
      <name val="Times New Roman"/>
      <family val="1"/>
      <charset val="1"/>
    </font>
    <font>
      <sz val="12"/>
      <color rgb="FFFF0000"/>
      <name val="Times New Roman"/>
      <family val="1"/>
      <charset val="238"/>
    </font>
    <font>
      <sz val="10"/>
      <name val="Times New Roman"/>
      <family val="1"/>
      <charset val="1"/>
    </font>
    <font>
      <i/>
      <sz val="12"/>
      <name val="Times New Roman"/>
      <family val="1"/>
      <charset val="238"/>
    </font>
    <font>
      <b/>
      <i/>
      <sz val="12"/>
      <name val="Calibri"/>
      <family val="2"/>
      <charset val="1"/>
    </font>
    <font>
      <sz val="20"/>
      <name val="Arial"/>
      <family val="2"/>
      <charset val="238"/>
    </font>
    <font>
      <b/>
      <sz val="18"/>
      <name val="Calibri"/>
      <family val="2"/>
      <charset val="1"/>
    </font>
    <font>
      <b/>
      <u/>
      <sz val="12"/>
      <name val="Calibri"/>
      <family val="2"/>
      <charset val="1"/>
    </font>
    <font>
      <sz val="10"/>
      <name val="Calibri"/>
      <family val="2"/>
      <charset val="1"/>
    </font>
    <font>
      <b/>
      <sz val="10"/>
      <name val="Calibri"/>
      <family val="2"/>
      <charset val="1"/>
    </font>
    <font>
      <b/>
      <sz val="14"/>
      <name val="Times New Roman"/>
      <family val="1"/>
      <charset val="238"/>
    </font>
    <font>
      <sz val="14"/>
      <name val="Times New Roman"/>
      <family val="1"/>
      <charset val="238"/>
    </font>
    <font>
      <sz val="12"/>
      <color rgb="FF00000A"/>
      <name val="Times New Roman"/>
      <family val="1"/>
      <charset val="1"/>
    </font>
    <font>
      <b/>
      <sz val="10"/>
      <name val="Times New Roman"/>
      <family val="1"/>
      <charset val="1"/>
    </font>
    <font>
      <sz val="10"/>
      <color rgb="FFFF0000"/>
      <name val="Times New Roman"/>
      <family val="1"/>
      <charset val="1"/>
    </font>
    <font>
      <sz val="12"/>
      <color rgb="FF000000"/>
      <name val="Tahoma"/>
      <family val="2"/>
      <charset val="1"/>
    </font>
    <font>
      <sz val="9"/>
      <color rgb="FF000000"/>
      <name val="Tahoma"/>
      <family val="2"/>
      <charset val="1"/>
    </font>
    <font>
      <b/>
      <sz val="10"/>
      <name val="Times New Roman"/>
      <family val="1"/>
      <charset val="238"/>
    </font>
    <font>
      <sz val="10"/>
      <name val="Times New Roman"/>
      <family val="1"/>
      <charset val="238"/>
    </font>
    <font>
      <sz val="11"/>
      <name val="Trebuchet MS"/>
      <family val="2"/>
      <charset val="1"/>
    </font>
    <font>
      <b/>
      <sz val="11"/>
      <name val="Trebuchet MS"/>
      <family val="2"/>
      <charset val="1"/>
    </font>
    <font>
      <b/>
      <i/>
      <sz val="11"/>
      <name val="Times New Roman"/>
      <family val="1"/>
      <charset val="1"/>
    </font>
    <font>
      <b/>
      <sz val="11"/>
      <name val="Times New Roman"/>
      <family val="1"/>
      <charset val="1"/>
    </font>
    <font>
      <b/>
      <u/>
      <sz val="11"/>
      <name val="Times New Roman"/>
      <family val="1"/>
      <charset val="1"/>
    </font>
    <font>
      <sz val="26"/>
      <color rgb="FF000000"/>
      <name val="Tahoma"/>
      <family val="2"/>
      <charset val="238"/>
    </font>
    <font>
      <b/>
      <sz val="14"/>
      <color rgb="FF000000"/>
      <name val="Times New Roman"/>
      <family val="1"/>
      <charset val="238"/>
    </font>
    <font>
      <b/>
      <sz val="12"/>
      <color rgb="FF000000"/>
      <name val="Times New Roman"/>
      <family val="1"/>
      <charset val="1"/>
    </font>
    <font>
      <sz val="11"/>
      <color rgb="FF9C6500"/>
      <name val="Calibri"/>
      <family val="2"/>
      <charset val="238"/>
    </font>
    <font>
      <b/>
      <sz val="14"/>
      <color rgb="FF9C6500"/>
      <name val="Times New Roman"/>
      <family val="1"/>
      <charset val="238"/>
    </font>
    <font>
      <b/>
      <sz val="12"/>
      <name val="Arial"/>
      <family val="2"/>
      <charset val="1"/>
    </font>
    <font>
      <sz val="10"/>
      <color rgb="FFFFFFFF"/>
      <name val="Times New Roman"/>
      <family val="1"/>
      <charset val="1"/>
    </font>
    <font>
      <b/>
      <u/>
      <sz val="12"/>
      <name val="Times New Roman"/>
      <family val="1"/>
      <charset val="1"/>
    </font>
    <font>
      <sz val="10"/>
      <name val="Arial"/>
      <family val="2"/>
      <charset val="238"/>
    </font>
    <font>
      <sz val="10"/>
      <name val="Times New Roman"/>
      <family val="1"/>
    </font>
    <font>
      <sz val="10"/>
      <color rgb="FF000000"/>
      <name val="Times New Roman"/>
      <family val="1"/>
    </font>
    <font>
      <b/>
      <sz val="10"/>
      <name val="Times New Roman"/>
      <family val="1"/>
    </font>
    <font>
      <i/>
      <sz val="10"/>
      <name val="Times New Roman"/>
      <family val="1"/>
    </font>
    <font>
      <sz val="11"/>
      <name val="Times New Roman"/>
      <family val="1"/>
    </font>
  </fonts>
  <fills count="20">
    <fill>
      <patternFill patternType="none"/>
    </fill>
    <fill>
      <patternFill patternType="gray125"/>
    </fill>
    <fill>
      <patternFill patternType="solid">
        <fgColor rgb="FFFFEB9C"/>
        <bgColor rgb="FFFBE5D6"/>
      </patternFill>
    </fill>
    <fill>
      <patternFill patternType="solid">
        <fgColor rgb="FFFFFFFF"/>
        <bgColor rgb="FFF2F2F2"/>
      </patternFill>
    </fill>
    <fill>
      <patternFill patternType="solid">
        <fgColor rgb="FF00B050"/>
        <bgColor rgb="FF008080"/>
      </patternFill>
    </fill>
    <fill>
      <patternFill patternType="solid">
        <fgColor rgb="FFFF0000"/>
        <bgColor rgb="FF993300"/>
      </patternFill>
    </fill>
    <fill>
      <patternFill patternType="solid">
        <fgColor rgb="FF92D050"/>
        <bgColor rgb="FFC0C0C0"/>
      </patternFill>
    </fill>
    <fill>
      <patternFill patternType="solid">
        <fgColor rgb="FF00B0F0"/>
        <bgColor rgb="FF33CCCC"/>
      </patternFill>
    </fill>
    <fill>
      <patternFill patternType="solid">
        <fgColor rgb="FFFFC000"/>
        <bgColor rgb="FFFF9900"/>
      </patternFill>
    </fill>
    <fill>
      <patternFill patternType="solid">
        <fgColor rgb="FFF2F2F2"/>
        <bgColor rgb="FFFFFFFF"/>
      </patternFill>
    </fill>
    <fill>
      <patternFill patternType="solid">
        <fgColor theme="0"/>
        <bgColor rgb="FFC0C0C0"/>
      </patternFill>
    </fill>
    <fill>
      <patternFill patternType="solid">
        <fgColor theme="0"/>
        <bgColor rgb="FF33CCCC"/>
      </patternFill>
    </fill>
    <fill>
      <patternFill patternType="solid">
        <fgColor theme="0"/>
        <bgColor rgb="FFFBE5D6"/>
      </patternFill>
    </fill>
    <fill>
      <patternFill patternType="solid">
        <fgColor theme="0"/>
        <bgColor rgb="FF800080"/>
      </patternFill>
    </fill>
    <fill>
      <patternFill patternType="solid">
        <fgColor theme="0"/>
        <bgColor rgb="FF993300"/>
      </patternFill>
    </fill>
    <fill>
      <patternFill patternType="solid">
        <fgColor theme="0"/>
        <bgColor rgb="FFF2F2F2"/>
      </patternFill>
    </fill>
    <fill>
      <patternFill patternType="solid">
        <fgColor theme="0"/>
        <bgColor rgb="FF008080"/>
      </patternFill>
    </fill>
    <fill>
      <patternFill patternType="solid">
        <fgColor theme="0"/>
        <bgColor rgb="FFFF9900"/>
      </patternFill>
    </fill>
    <fill>
      <patternFill patternType="solid">
        <fgColor theme="0"/>
        <bgColor indexed="64"/>
      </patternFill>
    </fill>
    <fill>
      <patternFill patternType="solid">
        <fgColor theme="0"/>
        <bgColor rgb="FFFFFFFF"/>
      </patternFill>
    </fill>
  </fills>
  <borders count="48">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diagonal/>
    </border>
  </borders>
  <cellStyleXfs count="24">
    <xf numFmtId="0" fontId="0" fillId="0" borderId="0"/>
    <xf numFmtId="167" fontId="2" fillId="0" borderId="0" applyBorder="0" applyProtection="0"/>
    <xf numFmtId="165" fontId="2" fillId="0" borderId="0" applyBorder="0" applyProtection="0"/>
    <xf numFmtId="164" fontId="58" fillId="0" borderId="0" applyBorder="0" applyProtection="0"/>
    <xf numFmtId="0" fontId="58" fillId="0" borderId="0"/>
    <xf numFmtId="0" fontId="1" fillId="0" borderId="0"/>
    <xf numFmtId="0" fontId="2" fillId="0" borderId="0"/>
    <xf numFmtId="0" fontId="3" fillId="0" borderId="0"/>
    <xf numFmtId="0" fontId="2" fillId="0" borderId="0"/>
    <xf numFmtId="0" fontId="2" fillId="0" borderId="0"/>
    <xf numFmtId="0" fontId="58" fillId="0" borderId="0"/>
    <xf numFmtId="0" fontId="58" fillId="0" borderId="0"/>
    <xf numFmtId="0" fontId="58" fillId="0" borderId="0"/>
    <xf numFmtId="0" fontId="4" fillId="0" borderId="0"/>
    <xf numFmtId="165" fontId="58" fillId="0" borderId="0" applyBorder="0" applyProtection="0"/>
    <xf numFmtId="0" fontId="5" fillId="0" borderId="0" applyBorder="0" applyProtection="0"/>
    <xf numFmtId="0" fontId="5" fillId="0" borderId="0" applyBorder="0" applyProtection="0"/>
    <xf numFmtId="0" fontId="58" fillId="0" borderId="0"/>
    <xf numFmtId="0" fontId="58" fillId="0" borderId="0"/>
    <xf numFmtId="0" fontId="4" fillId="0" borderId="0"/>
    <xf numFmtId="0" fontId="58" fillId="0" borderId="0"/>
    <xf numFmtId="0" fontId="58" fillId="0" borderId="0"/>
    <xf numFmtId="0" fontId="53" fillId="2" borderId="0" applyBorder="0" applyProtection="0"/>
    <xf numFmtId="0" fontId="58" fillId="0" borderId="0"/>
  </cellStyleXfs>
  <cellXfs count="1246">
    <xf numFmtId="0" fontId="0" fillId="0" borderId="0" xfId="0"/>
    <xf numFmtId="0" fontId="6" fillId="3" borderId="0" xfId="0" applyFont="1" applyFill="1" applyAlignment="1">
      <alignment horizontal="center"/>
    </xf>
    <xf numFmtId="49" fontId="7" fillId="3" borderId="0" xfId="0" applyNumberFormat="1" applyFont="1" applyFill="1" applyAlignment="1">
      <alignment horizontal="center" vertical="center" wrapText="1"/>
    </xf>
    <xf numFmtId="0" fontId="6" fillId="3" borderId="0" xfId="0" applyFont="1" applyFill="1"/>
    <xf numFmtId="1" fontId="6" fillId="3" borderId="0" xfId="0" applyNumberFormat="1" applyFont="1" applyFill="1" applyAlignment="1">
      <alignment horizontal="center"/>
    </xf>
    <xf numFmtId="3" fontId="7" fillId="3" borderId="0" xfId="0" applyNumberFormat="1" applyFont="1" applyFill="1"/>
    <xf numFmtId="166" fontId="6" fillId="3" borderId="0" xfId="0" applyNumberFormat="1" applyFont="1" applyFill="1" applyAlignment="1">
      <alignment horizontal="center" vertical="center"/>
    </xf>
    <xf numFmtId="3" fontId="6" fillId="3" borderId="0" xfId="0" applyNumberFormat="1" applyFont="1" applyFill="1" applyAlignment="1">
      <alignment horizontal="center"/>
    </xf>
    <xf numFmtId="3" fontId="6" fillId="3" borderId="0" xfId="0" applyNumberFormat="1" applyFont="1" applyFill="1" applyAlignment="1">
      <alignment horizontal="center" vertical="center"/>
    </xf>
    <xf numFmtId="3" fontId="6" fillId="3" borderId="0" xfId="0" applyNumberFormat="1" applyFont="1" applyFill="1" applyAlignment="1">
      <alignment wrapText="1"/>
    </xf>
    <xf numFmtId="49" fontId="8" fillId="0" borderId="0" xfId="0" applyNumberFormat="1" applyFont="1" applyAlignment="1">
      <alignment horizontal="left" vertical="center" wrapText="1"/>
    </xf>
    <xf numFmtId="0" fontId="8" fillId="3" borderId="0" xfId="0" applyFont="1" applyFill="1"/>
    <xf numFmtId="0" fontId="9" fillId="3" borderId="0" xfId="0" applyFont="1" applyFill="1" applyAlignment="1">
      <alignment horizontal="center"/>
    </xf>
    <xf numFmtId="0" fontId="9" fillId="0" borderId="0" xfId="0" applyFont="1" applyBorder="1" applyAlignment="1">
      <alignment horizontal="right"/>
    </xf>
    <xf numFmtId="0" fontId="7" fillId="3" borderId="0" xfId="0" applyFont="1" applyFill="1" applyBorder="1" applyAlignment="1"/>
    <xf numFmtId="0" fontId="7" fillId="3" borderId="0" xfId="0" applyFont="1" applyFill="1" applyBorder="1" applyAlignment="1">
      <alignment horizontal="left"/>
    </xf>
    <xf numFmtId="0" fontId="7" fillId="3" borderId="0" xfId="0" applyFont="1" applyFill="1" applyBorder="1" applyAlignment="1">
      <alignment horizontal="center"/>
    </xf>
    <xf numFmtId="3" fontId="11" fillId="3" borderId="1" xfId="0" applyNumberFormat="1" applyFont="1" applyFill="1" applyBorder="1" applyAlignment="1">
      <alignment horizontal="right" vertical="center"/>
    </xf>
    <xf numFmtId="166" fontId="6" fillId="3" borderId="0" xfId="0" applyNumberFormat="1" applyFont="1" applyFill="1" applyAlignment="1">
      <alignment horizontal="center"/>
    </xf>
    <xf numFmtId="4" fontId="8" fillId="0" borderId="0" xfId="0" applyNumberFormat="1" applyFont="1" applyAlignment="1">
      <alignment horizontal="left" vertical="center" wrapText="1"/>
    </xf>
    <xf numFmtId="0" fontId="9" fillId="3" borderId="0" xfId="0" applyFont="1" applyFill="1" applyAlignment="1">
      <alignment horizontal="center" vertical="center" wrapText="1"/>
    </xf>
    <xf numFmtId="3" fontId="7" fillId="3" borderId="5" xfId="0" applyNumberFormat="1" applyFont="1" applyFill="1" applyBorder="1" applyAlignment="1">
      <alignment horizontal="center" vertical="center" wrapText="1"/>
    </xf>
    <xf numFmtId="49" fontId="9" fillId="0" borderId="6" xfId="0" applyNumberFormat="1" applyFont="1" applyBorder="1" applyAlignment="1">
      <alignment horizontal="center" vertical="center" wrapText="1"/>
    </xf>
    <xf numFmtId="0" fontId="9" fillId="3" borderId="0" xfId="0" applyFont="1" applyFill="1"/>
    <xf numFmtId="0" fontId="7" fillId="3" borderId="7" xfId="0" applyFont="1" applyFill="1" applyBorder="1" applyAlignment="1">
      <alignment horizontal="center" vertical="center"/>
    </xf>
    <xf numFmtId="49" fontId="7" fillId="3" borderId="8" xfId="0" applyNumberFormat="1" applyFont="1" applyFill="1" applyBorder="1" applyAlignment="1">
      <alignment horizontal="center" vertical="center" wrapText="1"/>
    </xf>
    <xf numFmtId="0" fontId="7" fillId="3" borderId="8" xfId="0" applyFont="1" applyFill="1" applyBorder="1" applyAlignment="1">
      <alignment horizontal="center" vertical="center"/>
    </xf>
    <xf numFmtId="1" fontId="7" fillId="3" borderId="8" xfId="0" applyNumberFormat="1" applyFont="1" applyFill="1" applyBorder="1" applyAlignment="1">
      <alignment horizontal="center" vertical="center"/>
    </xf>
    <xf numFmtId="3" fontId="7" fillId="3" borderId="8"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1" fontId="9" fillId="0" borderId="6" xfId="0" applyNumberFormat="1" applyFont="1" applyBorder="1" applyAlignment="1">
      <alignment horizontal="center" vertical="center" wrapText="1"/>
    </xf>
    <xf numFmtId="0" fontId="12" fillId="4" borderId="7" xfId="0" applyFont="1" applyFill="1" applyBorder="1" applyAlignment="1">
      <alignment horizontal="center" vertical="center"/>
    </xf>
    <xf numFmtId="49" fontId="6" fillId="4" borderId="8" xfId="0" applyNumberFormat="1" applyFont="1" applyFill="1" applyBorder="1" applyAlignment="1">
      <alignment horizontal="left" vertical="center" wrapText="1"/>
    </xf>
    <xf numFmtId="49" fontId="6" fillId="4" borderId="8" xfId="0" applyNumberFormat="1" applyFont="1" applyFill="1" applyBorder="1" applyAlignment="1">
      <alignment horizontal="center" vertical="center"/>
    </xf>
    <xf numFmtId="0" fontId="6" fillId="4" borderId="8" xfId="0" applyFont="1" applyFill="1" applyBorder="1" applyAlignment="1">
      <alignment horizontal="center" vertical="center"/>
    </xf>
    <xf numFmtId="1" fontId="6" fillId="4" borderId="8" xfId="0"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166" fontId="6" fillId="4" borderId="8" xfId="0" applyNumberFormat="1" applyFont="1" applyFill="1" applyBorder="1" applyAlignment="1">
      <alignment horizontal="center" vertical="center"/>
    </xf>
    <xf numFmtId="3" fontId="6" fillId="4" borderId="8" xfId="0" applyNumberFormat="1" applyFont="1" applyFill="1" applyBorder="1" applyAlignment="1" applyProtection="1">
      <alignment horizontal="center" vertical="center"/>
      <protection locked="0"/>
    </xf>
    <xf numFmtId="3" fontId="13" fillId="4" borderId="8" xfId="0" applyNumberFormat="1" applyFont="1" applyFill="1" applyBorder="1" applyAlignment="1">
      <alignment horizontal="center" vertical="center"/>
    </xf>
    <xf numFmtId="3" fontId="6" fillId="4" borderId="8" xfId="0" applyNumberFormat="1" applyFont="1" applyFill="1" applyBorder="1" applyAlignment="1">
      <alignment horizontal="center" vertical="center"/>
    </xf>
    <xf numFmtId="3" fontId="6" fillId="4" borderId="5" xfId="1" applyNumberFormat="1" applyFont="1" applyFill="1" applyBorder="1" applyAlignment="1" applyProtection="1">
      <alignment horizontal="center" vertical="center" wrapText="1"/>
    </xf>
    <xf numFmtId="49" fontId="8" fillId="4" borderId="6" xfId="0" applyNumberFormat="1" applyFont="1" applyFill="1" applyBorder="1" applyAlignment="1">
      <alignment horizontal="left" vertical="center" wrapText="1"/>
    </xf>
    <xf numFmtId="0" fontId="9" fillId="4" borderId="0" xfId="0" applyFont="1" applyFill="1" applyAlignment="1">
      <alignment horizontal="center"/>
    </xf>
    <xf numFmtId="0" fontId="14" fillId="4" borderId="8" xfId="0" applyFont="1" applyFill="1" applyBorder="1" applyAlignment="1">
      <alignment horizontal="center" vertical="center" wrapText="1"/>
    </xf>
    <xf numFmtId="3" fontId="14" fillId="4" borderId="8" xfId="0" applyNumberFormat="1" applyFont="1" applyFill="1" applyBorder="1" applyAlignment="1">
      <alignment horizontal="center" vertical="center" wrapText="1"/>
    </xf>
    <xf numFmtId="4" fontId="14" fillId="4" borderId="8" xfId="0" applyNumberFormat="1" applyFont="1" applyFill="1" applyBorder="1" applyAlignment="1">
      <alignment horizontal="center" vertical="center" wrapText="1"/>
    </xf>
    <xf numFmtId="168" fontId="14" fillId="4" borderId="8"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3" fillId="4" borderId="0" xfId="0" applyFont="1" applyFill="1" applyBorder="1" applyAlignment="1">
      <alignment vertical="top" wrapText="1"/>
    </xf>
    <xf numFmtId="0" fontId="13" fillId="4" borderId="8" xfId="0" applyFont="1" applyFill="1" applyBorder="1" applyAlignment="1">
      <alignment horizontal="center" vertical="center" wrapText="1"/>
    </xf>
    <xf numFmtId="0" fontId="13" fillId="4" borderId="8" xfId="0" applyFont="1" applyFill="1" applyBorder="1" applyAlignment="1">
      <alignment horizontal="center" vertical="center"/>
    </xf>
    <xf numFmtId="3" fontId="13" fillId="3" borderId="8" xfId="0" applyNumberFormat="1" applyFont="1" applyFill="1" applyBorder="1" applyAlignment="1">
      <alignment horizontal="center" vertical="center"/>
    </xf>
    <xf numFmtId="166" fontId="13" fillId="4" borderId="8" xfId="0" applyNumberFormat="1" applyFont="1" applyFill="1" applyBorder="1" applyAlignment="1">
      <alignment horizontal="center" vertical="center"/>
    </xf>
    <xf numFmtId="3" fontId="13" fillId="4" borderId="8" xfId="0" applyNumberFormat="1" applyFont="1" applyFill="1" applyBorder="1" applyAlignment="1">
      <alignment horizontal="center" vertical="center" wrapText="1"/>
    </xf>
    <xf numFmtId="3" fontId="16" fillId="4" borderId="8" xfId="0" applyNumberFormat="1" applyFont="1" applyFill="1" applyBorder="1" applyAlignment="1">
      <alignment horizontal="center" vertical="center"/>
    </xf>
    <xf numFmtId="0" fontId="13" fillId="4" borderId="6" xfId="0" applyFont="1" applyFill="1" applyBorder="1" applyAlignment="1">
      <alignment vertical="top" wrapText="1"/>
    </xf>
    <xf numFmtId="0" fontId="13" fillId="4" borderId="0" xfId="0" applyFont="1" applyFill="1" applyBorder="1"/>
    <xf numFmtId="0" fontId="13" fillId="4" borderId="0" xfId="0" applyFont="1" applyFill="1"/>
    <xf numFmtId="0" fontId="13" fillId="4" borderId="9" xfId="0" applyFont="1" applyFill="1" applyBorder="1" applyAlignment="1">
      <alignment horizontal="left" vertical="center" wrapText="1"/>
    </xf>
    <xf numFmtId="0" fontId="13" fillId="4" borderId="9" xfId="0" applyFont="1" applyFill="1" applyBorder="1" applyAlignment="1">
      <alignment horizontal="center" vertical="center" wrapText="1"/>
    </xf>
    <xf numFmtId="0" fontId="13" fillId="4" borderId="9" xfId="0" applyFont="1" applyFill="1" applyBorder="1" applyAlignment="1">
      <alignment horizontal="center" vertical="center"/>
    </xf>
    <xf numFmtId="3" fontId="13" fillId="3" borderId="9" xfId="0" applyNumberFormat="1" applyFont="1" applyFill="1" applyBorder="1" applyAlignment="1">
      <alignment horizontal="center" vertical="center"/>
    </xf>
    <xf numFmtId="166" fontId="13" fillId="4" borderId="9" xfId="0" applyNumberFormat="1" applyFont="1" applyFill="1" applyBorder="1" applyAlignment="1">
      <alignment horizontal="center" vertical="center"/>
    </xf>
    <xf numFmtId="3" fontId="13" fillId="4" borderId="9" xfId="0" applyNumberFormat="1" applyFont="1" applyFill="1" applyBorder="1" applyAlignment="1">
      <alignment horizontal="center" vertical="center"/>
    </xf>
    <xf numFmtId="49" fontId="13" fillId="4" borderId="9" xfId="0" applyNumberFormat="1" applyFont="1" applyFill="1" applyBorder="1" applyAlignment="1">
      <alignment vertical="center" wrapText="1"/>
    </xf>
    <xf numFmtId="0" fontId="13" fillId="4" borderId="10" xfId="0" applyFont="1" applyFill="1" applyBorder="1" applyAlignment="1">
      <alignment vertical="top" wrapText="1"/>
    </xf>
    <xf numFmtId="0" fontId="13" fillId="4" borderId="11" xfId="0" applyFont="1" applyFill="1" applyBorder="1"/>
    <xf numFmtId="0" fontId="13" fillId="4" borderId="8" xfId="0" applyFont="1" applyFill="1" applyBorder="1"/>
    <xf numFmtId="3" fontId="6" fillId="4" borderId="5" xfId="0" applyNumberFormat="1" applyFont="1" applyFill="1" applyBorder="1" applyAlignment="1" applyProtection="1">
      <alignment horizontal="center" vertical="center"/>
      <protection locked="0"/>
    </xf>
    <xf numFmtId="49" fontId="8" fillId="4" borderId="6" xfId="0" applyNumberFormat="1" applyFont="1" applyFill="1" applyBorder="1"/>
    <xf numFmtId="0" fontId="17" fillId="4" borderId="8" xfId="0" applyFont="1" applyFill="1" applyBorder="1" applyAlignment="1">
      <alignment horizontal="left" vertical="center" wrapText="1"/>
    </xf>
    <xf numFmtId="0" fontId="6" fillId="4" borderId="8" xfId="0"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3" fontId="6" fillId="3" borderId="8" xfId="17" applyNumberFormat="1" applyFont="1" applyFill="1" applyBorder="1" applyAlignment="1">
      <alignment horizontal="center" vertical="center" wrapText="1"/>
    </xf>
    <xf numFmtId="166" fontId="6" fillId="4" borderId="8" xfId="2" applyNumberFormat="1" applyFont="1" applyFill="1" applyBorder="1" applyAlignment="1" applyProtection="1">
      <alignment horizontal="center" vertical="center"/>
    </xf>
    <xf numFmtId="3" fontId="6" fillId="5" borderId="8" xfId="0" applyNumberFormat="1" applyFont="1" applyFill="1" applyBorder="1" applyAlignment="1">
      <alignment horizontal="center" vertical="center"/>
    </xf>
    <xf numFmtId="3" fontId="6" fillId="4" borderId="8" xfId="0" applyNumberFormat="1" applyFont="1" applyFill="1" applyBorder="1" applyAlignment="1">
      <alignment horizontal="center" vertical="center" wrapText="1"/>
    </xf>
    <xf numFmtId="168" fontId="8" fillId="4" borderId="6" xfId="0" applyNumberFormat="1" applyFont="1" applyFill="1" applyBorder="1" applyAlignment="1">
      <alignment horizontal="left" vertical="center" wrapText="1"/>
    </xf>
    <xf numFmtId="0" fontId="18" fillId="5" borderId="8" xfId="15" applyFont="1" applyFill="1" applyBorder="1" applyAlignment="1" applyProtection="1">
      <alignment horizontal="left" vertical="center" wrapText="1"/>
    </xf>
    <xf numFmtId="0" fontId="6" fillId="5" borderId="8" xfId="0" applyFont="1" applyFill="1" applyBorder="1" applyAlignment="1">
      <alignment horizontal="center" vertical="center" wrapText="1"/>
    </xf>
    <xf numFmtId="0" fontId="19" fillId="5" borderId="8" xfId="5" applyFont="1" applyFill="1" applyBorder="1" applyAlignment="1">
      <alignment horizontal="center" vertical="center" wrapText="1"/>
    </xf>
    <xf numFmtId="0" fontId="19" fillId="5" borderId="8" xfId="15" applyFont="1" applyFill="1" applyBorder="1" applyAlignment="1" applyProtection="1">
      <alignment horizontal="center" vertical="center" wrapText="1"/>
    </xf>
    <xf numFmtId="166" fontId="6" fillId="5" borderId="8" xfId="2" applyNumberFormat="1" applyFont="1" applyFill="1" applyBorder="1" applyAlignment="1" applyProtection="1">
      <alignment horizontal="center" vertical="center"/>
    </xf>
    <xf numFmtId="166" fontId="6" fillId="5" borderId="8" xfId="0" applyNumberFormat="1" applyFont="1" applyFill="1" applyBorder="1" applyAlignment="1">
      <alignment horizontal="center" vertical="center"/>
    </xf>
    <xf numFmtId="3" fontId="20" fillId="5" borderId="8" xfId="15" applyNumberFormat="1" applyFont="1" applyFill="1" applyBorder="1" applyAlignment="1" applyProtection="1">
      <alignment horizontal="center" vertical="center" wrapText="1"/>
    </xf>
    <xf numFmtId="3" fontId="20" fillId="5" borderId="8" xfId="5" applyNumberFormat="1" applyFont="1" applyFill="1" applyBorder="1" applyAlignment="1">
      <alignment horizontal="right" vertical="center" wrapText="1"/>
    </xf>
    <xf numFmtId="3" fontId="20" fillId="5" borderId="8" xfId="5" applyNumberFormat="1" applyFont="1" applyFill="1" applyBorder="1" applyAlignment="1">
      <alignment horizontal="center" vertical="center" wrapText="1"/>
    </xf>
    <xf numFmtId="3" fontId="20" fillId="5" borderId="8" xfId="0" applyNumberFormat="1" applyFont="1" applyFill="1" applyBorder="1" applyAlignment="1">
      <alignment horizontal="center" vertical="center"/>
    </xf>
    <xf numFmtId="0" fontId="19" fillId="5" borderId="8" xfId="0" applyFont="1" applyFill="1" applyBorder="1" applyAlignment="1">
      <alignment horizontal="center" vertical="center" wrapText="1"/>
    </xf>
    <xf numFmtId="3" fontId="19" fillId="5" borderId="8" xfId="0" applyNumberFormat="1" applyFont="1" applyFill="1" applyBorder="1" applyAlignment="1">
      <alignment horizontal="center" vertical="center" wrapText="1"/>
    </xf>
    <xf numFmtId="3" fontId="19" fillId="5" borderId="8" xfId="0" applyNumberFormat="1" applyFont="1" applyFill="1" applyBorder="1" applyAlignment="1">
      <alignment horizontal="right" vertical="center" wrapText="1"/>
    </xf>
    <xf numFmtId="3" fontId="19" fillId="5" borderId="8" xfId="0" applyNumberFormat="1" applyFont="1" applyFill="1" applyBorder="1" applyAlignment="1">
      <alignment horizontal="right" vertical="center"/>
    </xf>
    <xf numFmtId="4" fontId="20" fillId="5" borderId="8" xfId="7" applyNumberFormat="1" applyFont="1" applyFill="1" applyBorder="1" applyAlignment="1">
      <alignment horizontal="right" vertical="center" wrapText="1"/>
    </xf>
    <xf numFmtId="3" fontId="20" fillId="5" borderId="8" xfId="0" applyNumberFormat="1" applyFont="1" applyFill="1" applyBorder="1" applyAlignment="1">
      <alignment horizontal="right" vertical="center"/>
    </xf>
    <xf numFmtId="0" fontId="20" fillId="5" borderId="8" xfId="15" applyFont="1" applyFill="1" applyBorder="1" applyAlignment="1" applyProtection="1">
      <alignment horizontal="center" vertical="center" wrapText="1"/>
    </xf>
    <xf numFmtId="0" fontId="20" fillId="5" borderId="8" xfId="5" applyFont="1" applyFill="1" applyBorder="1" applyAlignment="1">
      <alignment vertical="center" wrapText="1"/>
    </xf>
    <xf numFmtId="4" fontId="6" fillId="5" borderId="8" xfId="0" applyNumberFormat="1" applyFont="1" applyFill="1" applyBorder="1" applyAlignment="1">
      <alignment horizontal="center" vertical="center"/>
    </xf>
    <xf numFmtId="4" fontId="7" fillId="5" borderId="8" xfId="0" applyNumberFormat="1" applyFont="1" applyFill="1" applyBorder="1" applyAlignment="1">
      <alignment horizontal="center" vertical="center"/>
    </xf>
    <xf numFmtId="0" fontId="6" fillId="5" borderId="8" xfId="0" applyFont="1" applyFill="1" applyBorder="1" applyAlignment="1">
      <alignment horizontal="center" vertical="center"/>
    </xf>
    <xf numFmtId="0" fontId="18" fillId="4" borderId="8" xfId="0" applyFont="1" applyFill="1" applyBorder="1" applyAlignment="1">
      <alignment horizontal="justify" vertical="center" wrapText="1"/>
    </xf>
    <xf numFmtId="3" fontId="20" fillId="4" borderId="8" xfId="15" applyNumberFormat="1" applyFont="1" applyFill="1" applyBorder="1" applyAlignment="1" applyProtection="1">
      <alignment horizontal="center" vertical="center" wrapText="1"/>
    </xf>
    <xf numFmtId="3" fontId="20" fillId="5" borderId="8" xfId="0" applyNumberFormat="1" applyFont="1" applyFill="1" applyBorder="1" applyAlignment="1">
      <alignment horizontal="right" vertical="center" wrapText="1"/>
    </xf>
    <xf numFmtId="3" fontId="20" fillId="4" borderId="8" xfId="0" applyNumberFormat="1" applyFont="1" applyFill="1" applyBorder="1" applyAlignment="1">
      <alignment horizontal="center" vertical="center"/>
    </xf>
    <xf numFmtId="0" fontId="19" fillId="4" borderId="8" xfId="0" applyFont="1" applyFill="1" applyBorder="1" applyAlignment="1">
      <alignment horizontal="center" vertical="center" wrapText="1"/>
    </xf>
    <xf numFmtId="3" fontId="19" fillId="4" borderId="8" xfId="0" applyNumberFormat="1" applyFont="1" applyFill="1" applyBorder="1" applyAlignment="1">
      <alignment horizontal="center" vertical="center" wrapText="1"/>
    </xf>
    <xf numFmtId="3" fontId="19" fillId="0" borderId="8" xfId="0" applyNumberFormat="1" applyFont="1" applyBorder="1" applyAlignment="1">
      <alignment horizontal="right" vertical="center" wrapText="1"/>
    </xf>
    <xf numFmtId="3" fontId="19" fillId="0" borderId="8" xfId="0" applyNumberFormat="1" applyFont="1" applyBorder="1" applyAlignment="1">
      <alignment horizontal="right" vertical="center"/>
    </xf>
    <xf numFmtId="3" fontId="20" fillId="0" borderId="8" xfId="15" applyNumberFormat="1" applyFont="1" applyBorder="1" applyAlignment="1" applyProtection="1">
      <alignment horizontal="right" vertical="center"/>
    </xf>
    <xf numFmtId="3" fontId="20" fillId="0" borderId="8" xfId="0" applyNumberFormat="1" applyFont="1" applyBorder="1" applyAlignment="1">
      <alignment horizontal="right" vertical="center"/>
    </xf>
    <xf numFmtId="0" fontId="20" fillId="0" borderId="8" xfId="15" applyFont="1" applyBorder="1" applyAlignment="1" applyProtection="1">
      <alignment horizontal="center" vertical="center" wrapText="1"/>
    </xf>
    <xf numFmtId="0" fontId="20" fillId="0" borderId="8" xfId="5" applyFont="1" applyBorder="1" applyAlignment="1">
      <alignment vertical="center" wrapText="1"/>
    </xf>
    <xf numFmtId="4" fontId="6" fillId="0" borderId="8" xfId="0" applyNumberFormat="1" applyFont="1" applyBorder="1" applyAlignment="1">
      <alignment horizontal="center" vertical="center"/>
    </xf>
    <xf numFmtId="4" fontId="7" fillId="0" borderId="8" xfId="0" applyNumberFormat="1" applyFont="1" applyBorder="1" applyAlignment="1">
      <alignment horizontal="center" vertical="center"/>
    </xf>
    <xf numFmtId="0" fontId="6" fillId="0" borderId="8" xfId="0" applyFont="1" applyBorder="1" applyAlignment="1">
      <alignment horizontal="center" vertical="center"/>
    </xf>
    <xf numFmtId="3" fontId="13" fillId="4" borderId="3" xfId="0" applyNumberFormat="1" applyFont="1" applyFill="1" applyBorder="1" applyAlignment="1">
      <alignment horizontal="center" vertical="center"/>
    </xf>
    <xf numFmtId="0" fontId="6" fillId="4" borderId="8" xfId="0" applyFont="1" applyFill="1" applyBorder="1" applyAlignment="1">
      <alignment horizontal="left" vertical="center" wrapText="1"/>
    </xf>
    <xf numFmtId="1" fontId="6" fillId="4" borderId="8" xfId="0" applyNumberFormat="1" applyFont="1" applyFill="1" applyBorder="1" applyAlignment="1">
      <alignment horizontal="center" vertical="center" wrapText="1"/>
    </xf>
    <xf numFmtId="0" fontId="9" fillId="6" borderId="0" xfId="0" applyFont="1" applyFill="1" applyAlignment="1">
      <alignment horizontal="center"/>
    </xf>
    <xf numFmtId="0" fontId="8" fillId="4" borderId="8" xfId="0" applyFont="1" applyFill="1" applyBorder="1" applyAlignment="1">
      <alignment horizontal="left"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center" vertical="center" wrapText="1"/>
    </xf>
    <xf numFmtId="1" fontId="6" fillId="6" borderId="8" xfId="0" applyNumberFormat="1" applyFont="1" applyFill="1" applyBorder="1" applyAlignment="1">
      <alignment horizontal="center" vertical="center" wrapText="1"/>
    </xf>
    <xf numFmtId="166" fontId="6" fillId="6" borderId="8" xfId="2" applyNumberFormat="1" applyFont="1" applyFill="1" applyBorder="1" applyAlignment="1" applyProtection="1">
      <alignment horizontal="center" vertical="center"/>
    </xf>
    <xf numFmtId="166" fontId="6" fillId="6" borderId="8" xfId="0" applyNumberFormat="1" applyFont="1" applyFill="1" applyBorder="1" applyAlignment="1">
      <alignment horizontal="center" vertical="center"/>
    </xf>
    <xf numFmtId="3" fontId="6" fillId="6" borderId="8" xfId="0" applyNumberFormat="1" applyFont="1" applyFill="1" applyBorder="1" applyAlignment="1">
      <alignment horizontal="center" vertical="center"/>
    </xf>
    <xf numFmtId="0" fontId="8" fillId="6" borderId="8" xfId="0" applyFont="1" applyFill="1" applyBorder="1" applyAlignment="1">
      <alignment horizontal="center" vertical="center"/>
    </xf>
    <xf numFmtId="3" fontId="6" fillId="6" borderId="8" xfId="0" applyNumberFormat="1" applyFont="1" applyFill="1" applyBorder="1" applyAlignment="1">
      <alignment horizontal="center" vertical="center" wrapText="1"/>
    </xf>
    <xf numFmtId="168" fontId="8" fillId="6" borderId="6" xfId="0" applyNumberFormat="1" applyFont="1" applyFill="1" applyBorder="1" applyAlignment="1">
      <alignment horizontal="left" vertical="center" wrapText="1"/>
    </xf>
    <xf numFmtId="49" fontId="6" fillId="6" borderId="8" xfId="18" applyNumberFormat="1" applyFont="1" applyFill="1" applyBorder="1" applyAlignment="1">
      <alignment horizontal="left" vertical="center" wrapText="1"/>
    </xf>
    <xf numFmtId="2" fontId="6" fillId="6" borderId="8" xfId="15" applyNumberFormat="1" applyFont="1" applyFill="1" applyBorder="1" applyAlignment="1" applyProtection="1">
      <alignment horizontal="center" vertical="center" wrapText="1"/>
    </xf>
    <xf numFmtId="1" fontId="6" fillId="6" borderId="8" xfId="15" applyNumberFormat="1" applyFont="1" applyFill="1" applyBorder="1" applyAlignment="1" applyProtection="1">
      <alignment horizontal="center" vertical="center" wrapText="1"/>
    </xf>
    <xf numFmtId="3" fontId="6" fillId="6" borderId="8" xfId="0" applyNumberFormat="1" applyFont="1" applyFill="1" applyBorder="1" applyAlignment="1" applyProtection="1">
      <alignment horizontal="center" vertical="center"/>
      <protection locked="0"/>
    </xf>
    <xf numFmtId="3" fontId="6" fillId="6" borderId="5" xfId="0" applyNumberFormat="1" applyFont="1" applyFill="1" applyBorder="1" applyAlignment="1">
      <alignment horizontal="center" vertical="center" wrapText="1"/>
    </xf>
    <xf numFmtId="168" fontId="8" fillId="6" borderId="6" xfId="15" applyNumberFormat="1" applyFont="1" applyFill="1" applyBorder="1" applyAlignment="1" applyProtection="1">
      <alignment horizontal="center" vertical="center" wrapText="1"/>
    </xf>
    <xf numFmtId="0" fontId="6" fillId="0" borderId="8" xfId="0" applyFont="1" applyBorder="1" applyAlignment="1">
      <alignment horizontal="left" vertical="center" wrapText="1"/>
    </xf>
    <xf numFmtId="49" fontId="6" fillId="0" borderId="8"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1" fontId="6" fillId="0" borderId="8" xfId="0" applyNumberFormat="1" applyFont="1" applyBorder="1" applyAlignment="1">
      <alignment horizontal="center" vertical="center" wrapText="1"/>
    </xf>
    <xf numFmtId="166" fontId="6" fillId="0" borderId="8" xfId="2" applyNumberFormat="1" applyFont="1" applyBorder="1" applyAlignment="1" applyProtection="1">
      <alignment horizontal="center" vertical="center"/>
    </xf>
    <xf numFmtId="166" fontId="6" fillId="0" borderId="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5" xfId="0" applyNumberFormat="1" applyFont="1" applyBorder="1" applyAlignment="1">
      <alignment horizontal="center" vertical="center" wrapText="1"/>
    </xf>
    <xf numFmtId="0" fontId="8" fillId="0" borderId="6" xfId="0" applyFont="1" applyBorder="1" applyAlignment="1">
      <alignment horizontal="left" vertical="center" wrapText="1"/>
    </xf>
    <xf numFmtId="0" fontId="9" fillId="0" borderId="0" xfId="0" applyFont="1" applyAlignment="1">
      <alignment horizontal="center"/>
    </xf>
    <xf numFmtId="0" fontId="6" fillId="0" borderId="12" xfId="0" applyFont="1" applyBorder="1" applyAlignment="1">
      <alignment horizontal="center" vertical="center" wrapText="1"/>
    </xf>
    <xf numFmtId="3" fontId="6" fillId="0" borderId="8" xfId="0" applyNumberFormat="1" applyFont="1" applyBorder="1" applyAlignment="1">
      <alignment horizontal="center" vertical="center" wrapText="1"/>
    </xf>
    <xf numFmtId="4" fontId="8" fillId="0" borderId="6" xfId="0" applyNumberFormat="1" applyFont="1" applyBorder="1" applyAlignment="1">
      <alignment horizontal="left" vertical="center" wrapText="1"/>
    </xf>
    <xf numFmtId="49" fontId="6" fillId="0" borderId="8" xfId="18" applyNumberFormat="1" applyFont="1" applyBorder="1" applyAlignment="1">
      <alignment horizontal="left" vertical="center" wrapText="1"/>
    </xf>
    <xf numFmtId="169" fontId="6" fillId="0" borderId="8" xfId="0" applyNumberFormat="1" applyFont="1" applyBorder="1" applyAlignment="1">
      <alignment horizontal="center" vertical="center" wrapText="1"/>
    </xf>
    <xf numFmtId="3" fontId="6" fillId="3" borderId="8" xfId="0" applyNumberFormat="1" applyFont="1" applyFill="1" applyBorder="1" applyAlignment="1">
      <alignment horizontal="center" vertical="center" wrapText="1"/>
    </xf>
    <xf numFmtId="0" fontId="6" fillId="4" borderId="8" xfId="0" applyFont="1" applyFill="1" applyBorder="1" applyAlignment="1">
      <alignment horizontal="left" vertical="top" wrapText="1"/>
    </xf>
    <xf numFmtId="0" fontId="6" fillId="6" borderId="12" xfId="0" applyFont="1" applyFill="1" applyBorder="1" applyAlignment="1">
      <alignment horizontal="center" vertical="center" wrapText="1"/>
    </xf>
    <xf numFmtId="49" fontId="6" fillId="6" borderId="12" xfId="0" applyNumberFormat="1" applyFont="1" applyFill="1" applyBorder="1" applyAlignment="1">
      <alignment horizontal="center" vertical="center" wrapText="1"/>
    </xf>
    <xf numFmtId="49" fontId="6" fillId="6" borderId="8" xfId="0" applyNumberFormat="1" applyFont="1" applyFill="1" applyBorder="1" applyAlignment="1">
      <alignment horizontal="center" vertical="center" wrapText="1"/>
    </xf>
    <xf numFmtId="0" fontId="20" fillId="4" borderId="11" xfId="0" applyFont="1" applyFill="1" applyBorder="1" applyAlignment="1">
      <alignment horizontal="left" vertical="top" wrapText="1"/>
    </xf>
    <xf numFmtId="1" fontId="20" fillId="6" borderId="8" xfId="0" applyNumberFormat="1" applyFont="1" applyFill="1" applyBorder="1" applyAlignment="1">
      <alignment horizontal="center" vertical="center"/>
    </xf>
    <xf numFmtId="3" fontId="20" fillId="3" borderId="8" xfId="0" applyNumberFormat="1" applyFont="1" applyFill="1" applyBorder="1" applyAlignment="1">
      <alignment horizontal="center" vertical="center"/>
    </xf>
    <xf numFmtId="3" fontId="20" fillId="6" borderId="8" xfId="0" applyNumberFormat="1" applyFont="1" applyFill="1" applyBorder="1" applyAlignment="1">
      <alignment horizontal="right" vertical="center"/>
    </xf>
    <xf numFmtId="3" fontId="19" fillId="6" borderId="8" xfId="0" applyNumberFormat="1" applyFont="1" applyFill="1" applyBorder="1" applyAlignment="1">
      <alignment horizontal="right" vertical="center"/>
    </xf>
    <xf numFmtId="3" fontId="20" fillId="6" borderId="8" xfId="0" applyNumberFormat="1" applyFont="1" applyFill="1" applyBorder="1" applyAlignment="1">
      <alignment vertical="center" wrapText="1"/>
    </xf>
    <xf numFmtId="0" fontId="7" fillId="6" borderId="8" xfId="0" applyFont="1" applyFill="1" applyBorder="1" applyAlignment="1">
      <alignment horizontal="left" vertical="center" wrapText="1"/>
    </xf>
    <xf numFmtId="0" fontId="8" fillId="6" borderId="8" xfId="0" applyFont="1" applyFill="1" applyBorder="1" applyAlignment="1">
      <alignment horizontal="center" vertical="center" wrapText="1"/>
    </xf>
    <xf numFmtId="3" fontId="6" fillId="6" borderId="8" xfId="0" applyNumberFormat="1" applyFont="1" applyFill="1" applyBorder="1" applyAlignment="1">
      <alignment vertical="center" wrapText="1"/>
    </xf>
    <xf numFmtId="0" fontId="6" fillId="6" borderId="8" xfId="9" applyFont="1" applyFill="1" applyBorder="1" applyAlignment="1"/>
    <xf numFmtId="0" fontId="7" fillId="6" borderId="8" xfId="0" applyFont="1" applyFill="1" applyBorder="1" applyAlignment="1">
      <alignment vertical="center" wrapText="1"/>
    </xf>
    <xf numFmtId="4" fontId="7" fillId="6" borderId="0" xfId="0" applyNumberFormat="1" applyFont="1" applyFill="1" applyBorder="1" applyAlignment="1">
      <alignment horizontal="center" vertical="center"/>
    </xf>
    <xf numFmtId="4" fontId="6" fillId="6" borderId="0" xfId="0" applyNumberFormat="1" applyFont="1" applyFill="1" applyBorder="1" applyAlignment="1">
      <alignment horizontal="center" vertical="center"/>
    </xf>
    <xf numFmtId="4" fontId="6" fillId="6" borderId="0" xfId="0" applyNumberFormat="1" applyFont="1" applyFill="1" applyAlignment="1">
      <alignment horizontal="center" vertical="center"/>
    </xf>
    <xf numFmtId="0" fontId="6" fillId="6" borderId="0" xfId="0" applyFont="1" applyFill="1" applyAlignment="1">
      <alignment horizontal="center" vertical="center"/>
    </xf>
    <xf numFmtId="3" fontId="19" fillId="6" borderId="8" xfId="0" applyNumberFormat="1" applyFont="1" applyFill="1" applyBorder="1" applyAlignment="1">
      <alignment horizontal="left" vertical="center" wrapText="1"/>
    </xf>
    <xf numFmtId="3" fontId="6" fillId="6" borderId="8" xfId="0" applyNumberFormat="1" applyFont="1" applyFill="1" applyBorder="1" applyAlignment="1">
      <alignment horizontal="right" vertical="center"/>
    </xf>
    <xf numFmtId="166" fontId="6" fillId="7" borderId="8" xfId="2" applyNumberFormat="1" applyFont="1" applyFill="1" applyBorder="1" applyAlignment="1" applyProtection="1">
      <alignment horizontal="center" vertical="center"/>
    </xf>
    <xf numFmtId="0" fontId="19" fillId="7" borderId="8" xfId="0" applyFont="1" applyFill="1" applyBorder="1" applyAlignment="1">
      <alignment horizontal="center" vertical="center" wrapText="1"/>
    </xf>
    <xf numFmtId="3" fontId="19" fillId="6" borderId="8" xfId="0"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9" fillId="4" borderId="8" xfId="0" applyFont="1" applyFill="1" applyBorder="1" applyAlignment="1">
      <alignment horizontal="center" vertical="center" wrapText="1"/>
    </xf>
    <xf numFmtId="1" fontId="20" fillId="4" borderId="8" xfId="0" applyNumberFormat="1" applyFont="1" applyFill="1" applyBorder="1" applyAlignment="1">
      <alignment horizontal="center" vertical="center"/>
    </xf>
    <xf numFmtId="3" fontId="20" fillId="4" borderId="8" xfId="0" applyNumberFormat="1" applyFont="1" applyFill="1" applyBorder="1" applyAlignment="1">
      <alignment horizontal="right" vertical="center"/>
    </xf>
    <xf numFmtId="3" fontId="19" fillId="4" borderId="8" xfId="0" applyNumberFormat="1" applyFont="1" applyFill="1" applyBorder="1" applyAlignment="1">
      <alignment horizontal="right" vertical="center"/>
    </xf>
    <xf numFmtId="4" fontId="19" fillId="4" borderId="8" xfId="0" applyNumberFormat="1" applyFont="1" applyFill="1" applyBorder="1" applyAlignment="1">
      <alignment horizontal="center" vertical="center" wrapText="1"/>
    </xf>
    <xf numFmtId="3" fontId="19" fillId="4" borderId="8" xfId="0" applyNumberFormat="1" applyFont="1" applyFill="1" applyBorder="1" applyAlignment="1">
      <alignment horizontal="left" vertical="center" wrapText="1"/>
    </xf>
    <xf numFmtId="0" fontId="7" fillId="4" borderId="8" xfId="0" applyFont="1" applyFill="1" applyBorder="1" applyAlignment="1">
      <alignment horizontal="left" vertical="center" wrapText="1"/>
    </xf>
    <xf numFmtId="3" fontId="6" fillId="4" borderId="8" xfId="0" applyNumberFormat="1" applyFont="1" applyFill="1" applyBorder="1" applyAlignment="1">
      <alignment vertical="center" wrapText="1"/>
    </xf>
    <xf numFmtId="0" fontId="6" fillId="4" borderId="8" xfId="9" applyFont="1" applyFill="1" applyBorder="1" applyAlignment="1"/>
    <xf numFmtId="0" fontId="7" fillId="4" borderId="8" xfId="0" applyFont="1" applyFill="1" applyBorder="1" applyAlignment="1">
      <alignment vertical="center" wrapText="1"/>
    </xf>
    <xf numFmtId="4" fontId="7" fillId="4" borderId="0" xfId="0" applyNumberFormat="1" applyFont="1" applyFill="1" applyBorder="1" applyAlignment="1">
      <alignment horizontal="center" vertical="center"/>
    </xf>
    <xf numFmtId="4" fontId="6" fillId="4" borderId="0" xfId="0" applyNumberFormat="1" applyFont="1" applyFill="1" applyBorder="1" applyAlignment="1">
      <alignment horizontal="center" vertical="center"/>
    </xf>
    <xf numFmtId="4" fontId="6" fillId="4" borderId="0" xfId="0" applyNumberFormat="1" applyFont="1" applyFill="1" applyAlignment="1">
      <alignment horizontal="center" vertical="center"/>
    </xf>
    <xf numFmtId="0" fontId="6" fillId="4" borderId="0" xfId="0" applyFont="1" applyFill="1" applyAlignment="1">
      <alignment horizontal="center" vertical="center"/>
    </xf>
    <xf numFmtId="0" fontId="9" fillId="6" borderId="8" xfId="0" applyFont="1" applyFill="1" applyBorder="1" applyAlignment="1">
      <alignment horizontal="center" vertical="center" wrapText="1"/>
    </xf>
    <xf numFmtId="3" fontId="20" fillId="5" borderId="8" xfId="0" applyNumberFormat="1" applyFont="1" applyFill="1" applyBorder="1" applyAlignment="1">
      <alignment horizontal="center" vertical="center" wrapText="1"/>
    </xf>
    <xf numFmtId="4" fontId="19" fillId="6" borderId="8" xfId="0" applyNumberFormat="1" applyFont="1" applyFill="1" applyBorder="1" applyAlignment="1">
      <alignment horizontal="center" vertical="center" wrapText="1"/>
    </xf>
    <xf numFmtId="0" fontId="6" fillId="6" borderId="8" xfId="0" applyFont="1" applyFill="1" applyBorder="1" applyAlignment="1">
      <alignment vertical="center" wrapText="1"/>
    </xf>
    <xf numFmtId="166" fontId="20" fillId="4" borderId="8" xfId="0" applyNumberFormat="1" applyFont="1" applyFill="1" applyBorder="1" applyAlignment="1">
      <alignment horizontal="center" vertical="center" wrapText="1"/>
    </xf>
    <xf numFmtId="0" fontId="19" fillId="5" borderId="8" xfId="0" applyFont="1" applyFill="1" applyBorder="1" applyAlignment="1">
      <alignment horizontal="left" vertical="center" wrapText="1"/>
    </xf>
    <xf numFmtId="0" fontId="20" fillId="4" borderId="8" xfId="0" applyFont="1" applyFill="1" applyBorder="1" applyAlignment="1">
      <alignment horizontal="center" vertical="center" wrapText="1"/>
    </xf>
    <xf numFmtId="0" fontId="22" fillId="4" borderId="11" xfId="0" applyFont="1" applyFill="1" applyBorder="1" applyAlignment="1">
      <alignment horizontal="left" vertical="top" wrapText="1"/>
    </xf>
    <xf numFmtId="3" fontId="20" fillId="4" borderId="8" xfId="0" applyNumberFormat="1" applyFont="1" applyFill="1" applyBorder="1" applyAlignment="1">
      <alignment horizontal="center" vertical="center" wrapText="1"/>
    </xf>
    <xf numFmtId="3" fontId="6" fillId="4" borderId="8" xfId="0" applyNumberFormat="1" applyFont="1" applyFill="1" applyBorder="1" applyAlignment="1">
      <alignment horizontal="right" vertical="center"/>
    </xf>
    <xf numFmtId="3" fontId="7" fillId="4" borderId="8" xfId="0" applyNumberFormat="1" applyFont="1" applyFill="1" applyBorder="1" applyAlignment="1">
      <alignment horizontal="right" vertical="center"/>
    </xf>
    <xf numFmtId="0" fontId="22" fillId="4" borderId="8" xfId="0" applyFont="1" applyFill="1" applyBorder="1" applyAlignment="1">
      <alignment horizontal="center" vertical="center" wrapText="1"/>
    </xf>
    <xf numFmtId="0" fontId="20" fillId="4" borderId="13" xfId="15" applyFont="1" applyFill="1" applyBorder="1" applyAlignment="1" applyProtection="1">
      <alignment horizontal="left" vertical="top" wrapText="1"/>
    </xf>
    <xf numFmtId="0" fontId="9" fillId="4" borderId="8" xfId="5" applyFont="1" applyFill="1" applyBorder="1" applyAlignment="1">
      <alignment horizontal="center" vertical="center" wrapText="1"/>
    </xf>
    <xf numFmtId="0" fontId="9" fillId="4" borderId="12" xfId="15" applyFont="1" applyFill="1" applyBorder="1" applyAlignment="1" applyProtection="1">
      <alignment horizontal="center" vertical="center" wrapText="1"/>
    </xf>
    <xf numFmtId="0" fontId="20" fillId="4" borderId="8" xfId="5" applyFont="1" applyFill="1" applyBorder="1" applyAlignment="1">
      <alignment horizontal="center" vertical="center"/>
    </xf>
    <xf numFmtId="3" fontId="20" fillId="3" borderId="8" xfId="5" applyNumberFormat="1" applyFont="1" applyFill="1" applyBorder="1" applyAlignment="1">
      <alignment horizontal="center" vertical="center"/>
    </xf>
    <xf numFmtId="166" fontId="20" fillId="4" borderId="12" xfId="5" applyNumberFormat="1" applyFont="1" applyFill="1" applyBorder="1" applyAlignment="1">
      <alignment horizontal="center" vertical="center" wrapText="1"/>
    </xf>
    <xf numFmtId="170" fontId="20" fillId="5" borderId="12" xfId="5" applyNumberFormat="1" applyFont="1" applyFill="1" applyBorder="1" applyAlignment="1">
      <alignment horizontal="center" vertical="center" wrapText="1"/>
    </xf>
    <xf numFmtId="3" fontId="20" fillId="4" borderId="12" xfId="5" applyNumberFormat="1" applyFont="1" applyFill="1" applyBorder="1" applyAlignment="1">
      <alignment horizontal="center" vertical="center" wrapText="1"/>
    </xf>
    <xf numFmtId="3" fontId="20" fillId="6" borderId="12" xfId="15" applyNumberFormat="1" applyFont="1" applyFill="1" applyBorder="1" applyAlignment="1" applyProtection="1">
      <alignment horizontal="right" vertical="center"/>
    </xf>
    <xf numFmtId="0" fontId="20" fillId="6" borderId="13" xfId="15" applyFont="1" applyFill="1" applyBorder="1" applyAlignment="1" applyProtection="1">
      <alignment horizontal="center" vertical="center" wrapText="1"/>
    </xf>
    <xf numFmtId="0" fontId="20" fillId="6" borderId="14" xfId="5" applyFont="1" applyFill="1" applyBorder="1" applyAlignment="1">
      <alignment vertical="center" wrapText="1"/>
    </xf>
    <xf numFmtId="0" fontId="8" fillId="4" borderId="6" xfId="5" applyFont="1" applyFill="1" applyBorder="1" applyAlignment="1">
      <alignment vertical="center" wrapText="1"/>
    </xf>
    <xf numFmtId="3" fontId="6" fillId="4" borderId="5" xfId="0" applyNumberFormat="1" applyFont="1" applyFill="1" applyBorder="1" applyAlignment="1">
      <alignment horizontal="center" vertical="center" wrapText="1"/>
    </xf>
    <xf numFmtId="0" fontId="8" fillId="4"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8" xfId="15" applyFont="1" applyFill="1" applyBorder="1" applyAlignment="1" applyProtection="1">
      <alignment horizontal="center" vertical="center"/>
    </xf>
    <xf numFmtId="3" fontId="8" fillId="4" borderId="8" xfId="15" applyNumberFormat="1" applyFont="1" applyFill="1" applyBorder="1" applyAlignment="1" applyProtection="1">
      <alignment horizontal="center" vertical="center"/>
    </xf>
    <xf numFmtId="3" fontId="8" fillId="4" borderId="8" xfId="15" applyNumberFormat="1" applyFont="1" applyFill="1" applyBorder="1" applyAlignment="1" applyProtection="1">
      <alignment horizontal="center" vertical="center" wrapText="1"/>
    </xf>
    <xf numFmtId="0" fontId="9" fillId="4" borderId="0" xfId="15" applyFont="1" applyFill="1" applyBorder="1" applyAlignment="1" applyProtection="1">
      <alignment horizontal="center" vertical="center"/>
    </xf>
    <xf numFmtId="0" fontId="8" fillId="4" borderId="0" xfId="19" applyFont="1" applyFill="1" applyAlignment="1">
      <alignment vertical="center"/>
    </xf>
    <xf numFmtId="0" fontId="8" fillId="4" borderId="0" xfId="15" applyFont="1" applyFill="1" applyBorder="1" applyAlignment="1" applyProtection="1">
      <alignment vertical="center"/>
    </xf>
    <xf numFmtId="0" fontId="8" fillId="4" borderId="8" xfId="19" applyFont="1" applyFill="1" applyBorder="1" applyAlignment="1">
      <alignment horizontal="left" vertical="top" wrapText="1"/>
    </xf>
    <xf numFmtId="3" fontId="8" fillId="4" borderId="8" xfId="0" applyNumberFormat="1" applyFont="1" applyFill="1" applyBorder="1" applyAlignment="1">
      <alignment horizontal="center" vertical="center" wrapText="1"/>
    </xf>
    <xf numFmtId="0" fontId="8" fillId="4" borderId="12" xfId="19" applyFont="1" applyFill="1" applyBorder="1" applyAlignment="1">
      <alignment horizontal="center" vertical="center" wrapText="1"/>
    </xf>
    <xf numFmtId="0" fontId="8" fillId="4" borderId="8" xfId="19"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12" xfId="0" applyFont="1" applyBorder="1" applyAlignment="1">
      <alignment horizontal="left" vertical="center" wrapText="1"/>
    </xf>
    <xf numFmtId="49" fontId="6" fillId="0" borderId="12" xfId="0" applyNumberFormat="1" applyFont="1" applyBorder="1" applyAlignment="1">
      <alignment horizontal="center" vertical="center"/>
    </xf>
    <xf numFmtId="1" fontId="6" fillId="0" borderId="12" xfId="0" applyNumberFormat="1" applyFont="1" applyBorder="1" applyAlignment="1">
      <alignment horizontal="center" vertical="center" wrapText="1"/>
    </xf>
    <xf numFmtId="3" fontId="6" fillId="3" borderId="12" xfId="17" applyNumberFormat="1" applyFont="1" applyFill="1" applyBorder="1" applyAlignment="1">
      <alignment horizontal="center" vertical="center" wrapText="1"/>
    </xf>
    <xf numFmtId="166" fontId="6" fillId="0" borderId="12" xfId="2" applyNumberFormat="1" applyFont="1" applyBorder="1" applyAlignment="1" applyProtection="1">
      <alignment horizontal="center" vertical="center"/>
    </xf>
    <xf numFmtId="166" fontId="6" fillId="0" borderId="12" xfId="0" applyNumberFormat="1" applyFont="1" applyBorder="1" applyAlignment="1">
      <alignment horizontal="center" vertical="center"/>
    </xf>
    <xf numFmtId="3" fontId="6" fillId="0" borderId="12" xfId="0" applyNumberFormat="1" applyFont="1" applyBorder="1" applyAlignment="1">
      <alignment horizontal="center" vertical="center"/>
    </xf>
    <xf numFmtId="49" fontId="6" fillId="0" borderId="12"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0" fontId="18" fillId="4" borderId="11" xfId="0" applyFont="1" applyFill="1" applyBorder="1" applyAlignment="1">
      <alignment horizontal="left" vertical="center" wrapText="1"/>
    </xf>
    <xf numFmtId="3" fontId="20" fillId="0" borderId="8" xfId="0" applyNumberFormat="1" applyFont="1" applyBorder="1" applyAlignment="1">
      <alignment horizontal="right" vertical="center" wrapText="1"/>
    </xf>
    <xf numFmtId="1" fontId="20" fillId="0" borderId="8" xfId="15" applyNumberFormat="1" applyFont="1" applyBorder="1" applyAlignment="1" applyProtection="1">
      <alignment horizontal="center" vertical="center" wrapText="1"/>
    </xf>
    <xf numFmtId="0" fontId="20" fillId="0" borderId="8" xfId="0" applyFont="1" applyBorder="1" applyAlignment="1">
      <alignment horizontal="left" vertical="center" wrapText="1"/>
    </xf>
    <xf numFmtId="4" fontId="6" fillId="0" borderId="0" xfId="0" applyNumberFormat="1" applyFont="1" applyAlignment="1">
      <alignment horizontal="center" vertical="center"/>
    </xf>
    <xf numFmtId="4" fontId="7" fillId="0" borderId="0" xfId="0" applyNumberFormat="1" applyFont="1" applyBorder="1" applyAlignment="1">
      <alignment horizontal="center" vertical="center"/>
    </xf>
    <xf numFmtId="0" fontId="6" fillId="0" borderId="0" xfId="0" applyFont="1" applyAlignment="1">
      <alignment horizontal="center" vertical="center"/>
    </xf>
    <xf numFmtId="3" fontId="20" fillId="4" borderId="8" xfId="0" applyNumberFormat="1" applyFont="1" applyFill="1" applyBorder="1" applyAlignment="1">
      <alignment horizontal="right" vertical="center" wrapText="1"/>
    </xf>
    <xf numFmtId="166" fontId="6" fillId="4" borderId="8" xfId="0" applyNumberFormat="1" applyFont="1" applyFill="1" applyBorder="1" applyAlignment="1">
      <alignment horizontal="center" vertical="center" wrapText="1"/>
    </xf>
    <xf numFmtId="0" fontId="6" fillId="4" borderId="12" xfId="0" applyFont="1" applyFill="1" applyBorder="1" applyAlignment="1">
      <alignment horizontal="left" vertical="center" wrapText="1"/>
    </xf>
    <xf numFmtId="1" fontId="6" fillId="4" borderId="12" xfId="0" applyNumberFormat="1" applyFont="1" applyFill="1" applyBorder="1" applyAlignment="1">
      <alignment horizontal="center" vertical="center" wrapText="1"/>
    </xf>
    <xf numFmtId="3" fontId="6" fillId="5" borderId="12" xfId="0" applyNumberFormat="1" applyFont="1" applyFill="1" applyBorder="1" applyAlignment="1">
      <alignment horizontal="center" vertical="center"/>
    </xf>
    <xf numFmtId="3" fontId="6" fillId="4" borderId="12" xfId="0" applyNumberFormat="1" applyFont="1" applyFill="1" applyBorder="1" applyAlignment="1">
      <alignment horizontal="center" vertical="center"/>
    </xf>
    <xf numFmtId="3" fontId="6" fillId="4" borderId="12" xfId="0" applyNumberFormat="1" applyFont="1" applyFill="1" applyBorder="1" applyAlignment="1">
      <alignment horizontal="center" vertical="center" wrapText="1"/>
    </xf>
    <xf numFmtId="4" fontId="8" fillId="4" borderId="6" xfId="0" applyNumberFormat="1" applyFont="1" applyFill="1" applyBorder="1" applyAlignment="1">
      <alignment horizontal="left" vertical="center" wrapText="1"/>
    </xf>
    <xf numFmtId="168" fontId="8" fillId="0" borderId="14" xfId="0" applyNumberFormat="1" applyFont="1" applyBorder="1" applyAlignment="1">
      <alignment horizontal="left" vertical="center" wrapText="1"/>
    </xf>
    <xf numFmtId="0" fontId="19" fillId="4" borderId="11" xfId="0" applyFont="1" applyFill="1" applyBorder="1" applyAlignment="1">
      <alignment horizontal="left" vertical="center" wrapText="1"/>
    </xf>
    <xf numFmtId="0" fontId="19" fillId="4" borderId="8" xfId="16" applyFont="1" applyFill="1" applyBorder="1" applyAlignment="1" applyProtection="1">
      <alignment horizontal="center" vertical="center" wrapText="1"/>
    </xf>
    <xf numFmtId="1" fontId="20" fillId="4" borderId="8" xfId="0" applyNumberFormat="1" applyFont="1" applyFill="1" applyBorder="1" applyAlignment="1">
      <alignment horizontal="center" vertical="center" wrapText="1"/>
    </xf>
    <xf numFmtId="0" fontId="6" fillId="5" borderId="8" xfId="15" applyFont="1" applyFill="1" applyBorder="1" applyAlignment="1" applyProtection="1">
      <alignment horizontal="left" vertical="center" wrapText="1"/>
    </xf>
    <xf numFmtId="0" fontId="6" fillId="4" borderId="8" xfId="15" applyFont="1" applyFill="1" applyBorder="1" applyAlignment="1" applyProtection="1">
      <alignment horizontal="center" vertical="center" wrapText="1"/>
    </xf>
    <xf numFmtId="1" fontId="6" fillId="4" borderId="8" xfId="15" applyNumberFormat="1" applyFont="1" applyFill="1" applyBorder="1" applyAlignment="1" applyProtection="1">
      <alignment horizontal="center" vertical="center"/>
    </xf>
    <xf numFmtId="3" fontId="6" fillId="5" borderId="8" xfId="0" applyNumberFormat="1" applyFont="1" applyFill="1" applyBorder="1" applyAlignment="1" applyProtection="1">
      <alignment horizontal="center" vertical="center"/>
      <protection locked="0"/>
    </xf>
    <xf numFmtId="0" fontId="6" fillId="4" borderId="8" xfId="20" applyFont="1" applyFill="1" applyBorder="1" applyAlignment="1">
      <alignment horizontal="center" vertical="center" wrapText="1"/>
    </xf>
    <xf numFmtId="4" fontId="8" fillId="4" borderId="6" xfId="5" applyNumberFormat="1" applyFont="1" applyFill="1" applyBorder="1" applyAlignment="1">
      <alignment horizontal="left" vertical="center" wrapText="1"/>
    </xf>
    <xf numFmtId="3" fontId="6" fillId="4" borderId="0" xfId="0" applyNumberFormat="1" applyFont="1" applyFill="1" applyBorder="1" applyAlignment="1" applyProtection="1">
      <alignment horizontal="center" vertical="center"/>
      <protection locked="0"/>
    </xf>
    <xf numFmtId="0" fontId="6" fillId="4" borderId="8" xfId="15" applyFont="1" applyFill="1" applyBorder="1" applyAlignment="1" applyProtection="1">
      <alignment horizontal="left" vertical="center" wrapText="1"/>
    </xf>
    <xf numFmtId="0" fontId="23" fillId="4" borderId="11" xfId="15" applyFont="1" applyFill="1" applyBorder="1" applyAlignment="1" applyProtection="1">
      <alignment horizontal="left" vertical="top" wrapText="1"/>
    </xf>
    <xf numFmtId="49" fontId="6" fillId="4" borderId="12" xfId="0" applyNumberFormat="1" applyFont="1" applyFill="1" applyBorder="1" applyAlignment="1">
      <alignment horizontal="center" vertical="center"/>
    </xf>
    <xf numFmtId="166" fontId="6" fillId="4" borderId="12" xfId="2" applyNumberFormat="1" applyFont="1" applyFill="1" applyBorder="1" applyAlignment="1" applyProtection="1">
      <alignment horizontal="center" vertical="center"/>
    </xf>
    <xf numFmtId="166" fontId="6" fillId="5" borderId="12" xfId="0" applyNumberFormat="1" applyFont="1" applyFill="1" applyBorder="1" applyAlignment="1">
      <alignment horizontal="center" vertical="center"/>
    </xf>
    <xf numFmtId="0" fontId="8" fillId="5" borderId="6" xfId="5" applyFont="1" applyFill="1" applyBorder="1" applyAlignment="1">
      <alignment vertical="center" wrapText="1"/>
    </xf>
    <xf numFmtId="166" fontId="6" fillId="4" borderId="12" xfId="0" applyNumberFormat="1" applyFont="1" applyFill="1" applyBorder="1" applyAlignment="1">
      <alignment horizontal="center" vertical="center"/>
    </xf>
    <xf numFmtId="168" fontId="8" fillId="4" borderId="14" xfId="0" applyNumberFormat="1" applyFont="1" applyFill="1" applyBorder="1" applyAlignment="1">
      <alignment horizontal="left" vertical="center" wrapText="1"/>
    </xf>
    <xf numFmtId="3" fontId="12" fillId="5" borderId="8" xfId="0" applyNumberFormat="1" applyFont="1" applyFill="1" applyBorder="1" applyAlignment="1">
      <alignment horizontal="center" vertical="center"/>
    </xf>
    <xf numFmtId="3" fontId="8" fillId="4" borderId="6" xfId="15" applyNumberFormat="1" applyFont="1" applyFill="1" applyBorder="1" applyAlignment="1" applyProtection="1">
      <alignment horizontal="left" vertical="center" wrapText="1"/>
    </xf>
    <xf numFmtId="0" fontId="6" fillId="5" borderId="12" xfId="0" applyFont="1" applyFill="1" applyBorder="1" applyAlignment="1">
      <alignment horizontal="center" vertical="center" wrapText="1"/>
    </xf>
    <xf numFmtId="166" fontId="6" fillId="5" borderId="12" xfId="2" applyNumberFormat="1" applyFont="1" applyFill="1" applyBorder="1" applyAlignment="1" applyProtection="1">
      <alignment horizontal="center" vertical="center"/>
    </xf>
    <xf numFmtId="49" fontId="8" fillId="4" borderId="8" xfId="0" applyNumberFormat="1" applyFont="1" applyFill="1" applyBorder="1" applyAlignment="1">
      <alignment horizontal="left" vertical="center" wrapText="1"/>
    </xf>
    <xf numFmtId="4" fontId="6" fillId="6" borderId="8" xfId="12" applyNumberFormat="1" applyFont="1" applyFill="1" applyBorder="1" applyAlignment="1">
      <alignment horizontal="center" vertical="center" wrapText="1"/>
    </xf>
    <xf numFmtId="1" fontId="6" fillId="6" borderId="8" xfId="11" applyNumberFormat="1" applyFont="1" applyFill="1" applyBorder="1" applyAlignment="1">
      <alignment horizontal="center" vertical="center"/>
    </xf>
    <xf numFmtId="3" fontId="12" fillId="5" borderId="8" xfId="0" applyNumberFormat="1" applyFont="1" applyFill="1" applyBorder="1" applyAlignment="1" applyProtection="1">
      <alignment horizontal="center" vertical="center"/>
      <protection locked="0"/>
    </xf>
    <xf numFmtId="1" fontId="8" fillId="6" borderId="8" xfId="12" applyNumberFormat="1" applyFont="1" applyFill="1" applyBorder="1" applyAlignment="1">
      <alignment horizontal="center" vertical="center" wrapText="1"/>
    </xf>
    <xf numFmtId="49" fontId="8" fillId="6" borderId="6" xfId="0" applyNumberFormat="1" applyFont="1" applyFill="1" applyBorder="1" applyAlignment="1">
      <alignment horizontal="left" vertical="center" wrapText="1"/>
    </xf>
    <xf numFmtId="0" fontId="8" fillId="7" borderId="8" xfId="0" applyFont="1" applyFill="1" applyBorder="1" applyAlignment="1">
      <alignment horizontal="center" vertical="center" wrapText="1"/>
    </xf>
    <xf numFmtId="168" fontId="8" fillId="7" borderId="6" xfId="0" applyNumberFormat="1" applyFont="1" applyFill="1" applyBorder="1" applyAlignment="1">
      <alignment horizontal="left" vertical="center" wrapText="1"/>
    </xf>
    <xf numFmtId="49" fontId="8" fillId="0" borderId="6" xfId="0" applyNumberFormat="1" applyFont="1" applyBorder="1" applyAlignment="1">
      <alignment horizontal="left" vertical="center" wrapText="1"/>
    </xf>
    <xf numFmtId="3" fontId="8" fillId="3" borderId="8" xfId="0" applyNumberFormat="1" applyFont="1" applyFill="1" applyBorder="1" applyAlignment="1">
      <alignment horizontal="center" vertical="center"/>
    </xf>
    <xf numFmtId="49" fontId="6" fillId="6" borderId="12" xfId="0" applyNumberFormat="1" applyFont="1" applyFill="1" applyBorder="1" applyAlignment="1">
      <alignment horizontal="center" vertical="center"/>
    </xf>
    <xf numFmtId="49" fontId="18" fillId="4" borderId="6" xfId="0" applyNumberFormat="1" applyFont="1" applyFill="1" applyBorder="1" applyAlignment="1">
      <alignment horizontal="left" vertical="top" wrapText="1"/>
    </xf>
    <xf numFmtId="49" fontId="8" fillId="4" borderId="8" xfId="0" applyNumberFormat="1" applyFont="1" applyFill="1" applyBorder="1" applyAlignment="1">
      <alignment horizontal="left" vertical="top" wrapText="1"/>
    </xf>
    <xf numFmtId="1" fontId="6" fillId="6" borderId="8" xfId="0" applyNumberFormat="1" applyFont="1" applyFill="1" applyBorder="1" applyAlignment="1">
      <alignment horizontal="center" vertical="center"/>
    </xf>
    <xf numFmtId="49" fontId="6" fillId="6" borderId="8" xfId="0" applyNumberFormat="1" applyFont="1" applyFill="1" applyBorder="1" applyAlignment="1">
      <alignment horizontal="center" vertical="center"/>
    </xf>
    <xf numFmtId="49" fontId="14" fillId="6" borderId="6" xfId="15" applyNumberFormat="1" applyFont="1" applyFill="1" applyBorder="1" applyAlignment="1" applyProtection="1">
      <alignment vertical="center" wrapText="1"/>
    </xf>
    <xf numFmtId="2" fontId="7" fillId="4" borderId="8" xfId="15" applyNumberFormat="1" applyFont="1" applyFill="1" applyBorder="1" applyAlignment="1" applyProtection="1">
      <alignment horizontal="center" vertical="center" wrapText="1"/>
    </xf>
    <xf numFmtId="1" fontId="6" fillId="5" borderId="8" xfId="1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49" fontId="6" fillId="5" borderId="8" xfId="0" applyNumberFormat="1" applyFont="1" applyFill="1" applyBorder="1" applyAlignment="1">
      <alignment horizontal="center" vertical="center" wrapText="1"/>
    </xf>
    <xf numFmtId="0" fontId="6" fillId="5" borderId="8" xfId="15" applyFont="1" applyFill="1" applyBorder="1" applyAlignment="1" applyProtection="1">
      <alignment horizontal="center" vertical="center" wrapText="1"/>
    </xf>
    <xf numFmtId="1" fontId="6" fillId="5" borderId="8" xfId="15" applyNumberFormat="1" applyFont="1" applyFill="1" applyBorder="1" applyAlignment="1" applyProtection="1">
      <alignment horizontal="center" vertical="center"/>
    </xf>
    <xf numFmtId="166" fontId="6" fillId="5" borderId="8" xfId="0" applyNumberFormat="1" applyFont="1" applyFill="1" applyBorder="1" applyAlignment="1">
      <alignment horizontal="center" vertical="center" wrapText="1"/>
    </xf>
    <xf numFmtId="1" fontId="6" fillId="5" borderId="8" xfId="0" applyNumberFormat="1" applyFont="1" applyFill="1" applyBorder="1" applyAlignment="1">
      <alignment horizontal="center" vertical="center" wrapText="1"/>
    </xf>
    <xf numFmtId="3" fontId="6" fillId="5" borderId="5" xfId="0" applyNumberFormat="1" applyFont="1" applyFill="1" applyBorder="1" applyAlignment="1">
      <alignment horizontal="center" vertical="center" wrapText="1"/>
    </xf>
    <xf numFmtId="4" fontId="8" fillId="5" borderId="6" xfId="5" applyNumberFormat="1" applyFont="1" applyFill="1" applyBorder="1" applyAlignment="1">
      <alignment horizontal="left" vertical="center" wrapText="1"/>
    </xf>
    <xf numFmtId="0" fontId="9" fillId="5" borderId="0" xfId="0" applyFont="1" applyFill="1" applyAlignment="1">
      <alignment horizontal="center"/>
    </xf>
    <xf numFmtId="49" fontId="6" fillId="7" borderId="8" xfId="0" applyNumberFormat="1" applyFont="1" applyFill="1" applyBorder="1" applyAlignment="1">
      <alignment horizontal="center" vertical="center" wrapText="1"/>
    </xf>
    <xf numFmtId="3" fontId="6" fillId="6" borderId="5" xfId="1" applyNumberFormat="1" applyFont="1" applyFill="1" applyBorder="1" applyAlignment="1" applyProtection="1">
      <alignment horizontal="center" vertical="center" wrapText="1"/>
    </xf>
    <xf numFmtId="49" fontId="8" fillId="7" borderId="6" xfId="0" applyNumberFormat="1" applyFont="1" applyFill="1" applyBorder="1" applyAlignment="1">
      <alignment horizontal="left" vertical="center" wrapText="1"/>
    </xf>
    <xf numFmtId="0" fontId="18" fillId="4" borderId="8" xfId="0" applyFont="1" applyFill="1" applyBorder="1" applyAlignment="1" applyProtection="1">
      <alignment horizontal="left" vertical="center" wrapText="1"/>
    </xf>
    <xf numFmtId="0" fontId="18" fillId="4" borderId="8" xfId="0" applyFont="1" applyFill="1" applyBorder="1" applyAlignment="1" applyProtection="1">
      <alignment horizontal="center" vertical="center" wrapText="1"/>
    </xf>
    <xf numFmtId="1" fontId="26" fillId="4" borderId="8" xfId="0" applyNumberFormat="1" applyFont="1" applyFill="1" applyBorder="1" applyAlignment="1" applyProtection="1">
      <alignment horizontal="center" vertical="center"/>
    </xf>
    <xf numFmtId="3" fontId="20" fillId="3" borderId="8" xfId="0" applyNumberFormat="1" applyFont="1" applyFill="1" applyBorder="1" applyAlignment="1" applyProtection="1">
      <alignment horizontal="center" vertical="center"/>
    </xf>
    <xf numFmtId="166" fontId="20" fillId="5" borderId="8" xfId="0" applyNumberFormat="1" applyFont="1" applyFill="1" applyBorder="1" applyAlignment="1" applyProtection="1">
      <alignment horizontal="center" vertical="center"/>
    </xf>
    <xf numFmtId="166" fontId="20" fillId="4" borderId="8" xfId="0" applyNumberFormat="1" applyFont="1" applyFill="1" applyBorder="1" applyAlignment="1" applyProtection="1">
      <alignment horizontal="center" vertical="center"/>
    </xf>
    <xf numFmtId="3" fontId="20" fillId="5" borderId="8" xfId="0" applyNumberFormat="1" applyFont="1" applyFill="1" applyBorder="1" applyAlignment="1" applyProtection="1">
      <alignment horizontal="center" vertical="center" wrapText="1"/>
    </xf>
    <xf numFmtId="3" fontId="20" fillId="4" borderId="8" xfId="0" applyNumberFormat="1" applyFont="1" applyFill="1" applyBorder="1" applyAlignment="1" applyProtection="1">
      <alignment horizontal="center" vertical="center"/>
    </xf>
    <xf numFmtId="3" fontId="20" fillId="4" borderId="8" xfId="1" applyNumberFormat="1" applyFont="1" applyFill="1" applyBorder="1" applyAlignment="1" applyProtection="1">
      <alignment horizontal="center" vertical="center"/>
    </xf>
    <xf numFmtId="3" fontId="19" fillId="4" borderId="8" xfId="0" applyNumberFormat="1" applyFont="1" applyFill="1" applyBorder="1" applyAlignment="1">
      <alignment horizontal="right" vertical="center" wrapText="1"/>
    </xf>
    <xf numFmtId="3" fontId="20" fillId="4" borderId="8" xfId="1" applyNumberFormat="1" applyFont="1" applyFill="1" applyBorder="1" applyAlignment="1" applyProtection="1">
      <alignment horizontal="right" vertical="center"/>
    </xf>
    <xf numFmtId="3" fontId="20" fillId="0" borderId="8" xfId="0" applyNumberFormat="1" applyFont="1" applyBorder="1" applyAlignment="1" applyProtection="1">
      <alignment horizontal="center" vertical="center"/>
    </xf>
    <xf numFmtId="0" fontId="20" fillId="0" borderId="8" xfId="0" applyFont="1" applyBorder="1" applyAlignment="1" applyProtection="1">
      <alignment horizontal="center" vertical="center"/>
    </xf>
    <xf numFmtId="166" fontId="6" fillId="0" borderId="8" xfId="0" applyNumberFormat="1" applyFont="1" applyBorder="1" applyAlignment="1">
      <alignment horizontal="center" vertical="center" wrapText="1"/>
    </xf>
    <xf numFmtId="0" fontId="8" fillId="4" borderId="6" xfId="0" applyFont="1" applyFill="1" applyBorder="1" applyAlignment="1">
      <alignment vertical="center" wrapText="1"/>
    </xf>
    <xf numFmtId="0" fontId="8" fillId="6" borderId="8" xfId="11" applyFont="1" applyFill="1" applyBorder="1" applyAlignment="1">
      <alignment horizontal="left" vertical="center" wrapText="1"/>
    </xf>
    <xf numFmtId="0" fontId="6" fillId="6" borderId="8" xfId="11" applyFont="1" applyFill="1" applyBorder="1" applyAlignment="1">
      <alignment horizontal="center" vertical="center"/>
    </xf>
    <xf numFmtId="166" fontId="6" fillId="6" borderId="8" xfId="0" applyNumberFormat="1" applyFont="1" applyFill="1" applyBorder="1" applyAlignment="1">
      <alignment horizontal="center" vertical="center" wrapText="1"/>
    </xf>
    <xf numFmtId="3" fontId="27" fillId="6" borderId="8" xfId="0" applyNumberFormat="1" applyFont="1" applyFill="1" applyBorder="1" applyAlignment="1" applyProtection="1">
      <alignment horizontal="center" vertical="center"/>
      <protection locked="0"/>
    </xf>
    <xf numFmtId="49" fontId="8" fillId="6" borderId="8" xfId="0" applyNumberFormat="1" applyFont="1" applyFill="1" applyBorder="1" applyAlignment="1">
      <alignment horizontal="center" vertical="center" wrapText="1"/>
    </xf>
    <xf numFmtId="1" fontId="6" fillId="6" borderId="8" xfId="13" applyNumberFormat="1" applyFont="1" applyFill="1" applyBorder="1" applyAlignment="1">
      <alignment horizontal="center" vertical="center" wrapText="1"/>
    </xf>
    <xf numFmtId="2" fontId="6" fillId="4" borderId="8" xfId="15" applyNumberFormat="1" applyFont="1" applyFill="1" applyBorder="1" applyAlignment="1" applyProtection="1">
      <alignment horizontal="center" vertical="center" wrapText="1"/>
    </xf>
    <xf numFmtId="1" fontId="6" fillId="4" borderId="8" xfId="15" applyNumberFormat="1" applyFont="1" applyFill="1" applyBorder="1" applyAlignment="1" applyProtection="1">
      <alignment horizontal="center" vertical="center" wrapText="1"/>
    </xf>
    <xf numFmtId="49" fontId="12" fillId="4" borderId="8" xfId="0" applyNumberFormat="1" applyFont="1" applyFill="1" applyBorder="1" applyAlignment="1">
      <alignment horizontal="center" vertical="center" wrapText="1"/>
    </xf>
    <xf numFmtId="0" fontId="6" fillId="4" borderId="8" xfId="12" applyFont="1" applyFill="1" applyBorder="1" applyAlignment="1">
      <alignment vertical="center" wrapText="1"/>
    </xf>
    <xf numFmtId="0" fontId="6" fillId="4" borderId="8" xfId="12" applyFont="1" applyFill="1" applyBorder="1" applyAlignment="1">
      <alignment horizontal="center" vertical="center" wrapText="1"/>
    </xf>
    <xf numFmtId="1" fontId="12" fillId="4" borderId="8" xfId="12" applyNumberFormat="1" applyFont="1" applyFill="1" applyBorder="1" applyAlignment="1">
      <alignment horizontal="center" vertical="center" wrapText="1"/>
    </xf>
    <xf numFmtId="168" fontId="28" fillId="4" borderId="6" xfId="0" applyNumberFormat="1" applyFont="1" applyFill="1" applyBorder="1" applyAlignment="1">
      <alignment horizontal="left" vertical="top" wrapText="1"/>
    </xf>
    <xf numFmtId="2" fontId="8" fillId="4" borderId="8" xfId="15" applyNumberFormat="1" applyFont="1" applyFill="1" applyBorder="1" applyAlignment="1" applyProtection="1">
      <alignment horizontal="left" vertical="center" wrapText="1"/>
    </xf>
    <xf numFmtId="49" fontId="6" fillId="4" borderId="12" xfId="18" applyNumberFormat="1" applyFont="1" applyFill="1" applyBorder="1" applyAlignment="1">
      <alignment horizontal="left" vertical="center" wrapText="1"/>
    </xf>
    <xf numFmtId="3" fontId="6" fillId="3" borderId="12" xfId="0" applyNumberFormat="1" applyFont="1" applyFill="1" applyBorder="1" applyAlignment="1">
      <alignment horizontal="center" vertical="center"/>
    </xf>
    <xf numFmtId="49" fontId="6" fillId="4" borderId="8" xfId="18" applyNumberFormat="1" applyFont="1" applyFill="1" applyBorder="1" applyAlignment="1">
      <alignment horizontal="left" vertical="center" wrapText="1"/>
    </xf>
    <xf numFmtId="2" fontId="8" fillId="4" borderId="8" xfId="15" applyNumberFormat="1" applyFont="1" applyFill="1" applyBorder="1" applyAlignment="1" applyProtection="1">
      <alignment horizontal="center" vertical="center" wrapText="1"/>
    </xf>
    <xf numFmtId="4" fontId="6" fillId="4" borderId="5" xfId="0" applyNumberFormat="1" applyFont="1" applyFill="1" applyBorder="1" applyAlignment="1">
      <alignment horizontal="center" vertical="center"/>
    </xf>
    <xf numFmtId="49" fontId="8" fillId="4" borderId="8" xfId="0" applyNumberFormat="1" applyFont="1" applyFill="1" applyBorder="1" applyAlignment="1">
      <alignment horizontal="center" vertical="center" wrapText="1"/>
    </xf>
    <xf numFmtId="166" fontId="6" fillId="4" borderId="8" xfId="2" applyNumberFormat="1" applyFont="1" applyFill="1" applyBorder="1" applyAlignment="1" applyProtection="1">
      <alignment horizontal="center" vertical="center" wrapText="1"/>
    </xf>
    <xf numFmtId="3" fontId="6" fillId="4" borderId="15" xfId="0" applyNumberFormat="1" applyFont="1" applyFill="1" applyBorder="1" applyAlignment="1">
      <alignment horizontal="center" vertical="center"/>
    </xf>
    <xf numFmtId="49" fontId="6" fillId="4" borderId="8" xfId="0" applyNumberFormat="1" applyFont="1" applyFill="1" applyBorder="1" applyAlignment="1" applyProtection="1">
      <alignment horizontal="center" vertical="center" wrapText="1"/>
      <protection locked="0"/>
    </xf>
    <xf numFmtId="3" fontId="17" fillId="4" borderId="5" xfId="1" applyNumberFormat="1" applyFont="1" applyFill="1" applyBorder="1" applyAlignment="1" applyProtection="1">
      <alignment horizontal="center" vertical="center" wrapText="1"/>
    </xf>
    <xf numFmtId="49" fontId="6" fillId="4" borderId="6" xfId="0" applyNumberFormat="1" applyFont="1" applyFill="1" applyBorder="1" applyAlignment="1">
      <alignment horizontal="left" vertical="center" wrapText="1"/>
    </xf>
    <xf numFmtId="1" fontId="6" fillId="4" borderId="8" xfId="11" applyNumberFormat="1" applyFont="1" applyFill="1" applyBorder="1" applyAlignment="1">
      <alignment horizontal="center" vertical="center" wrapText="1"/>
    </xf>
    <xf numFmtId="3" fontId="6" fillId="3" borderId="8" xfId="11"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4" fontId="6" fillId="4" borderId="5" xfId="0" applyNumberFormat="1" applyFont="1" applyFill="1" applyBorder="1" applyAlignment="1">
      <alignment horizontal="center" vertical="center" wrapText="1"/>
    </xf>
    <xf numFmtId="168" fontId="28" fillId="4" borderId="8" xfId="0" applyNumberFormat="1" applyFont="1" applyFill="1" applyBorder="1" applyAlignment="1">
      <alignment horizontal="center" vertical="center" wrapText="1"/>
    </xf>
    <xf numFmtId="168" fontId="6" fillId="4" borderId="6"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166" fontId="6" fillId="7" borderId="8" xfId="0" applyNumberFormat="1" applyFont="1" applyFill="1" applyBorder="1" applyAlignment="1">
      <alignment horizontal="center" vertical="center"/>
    </xf>
    <xf numFmtId="49" fontId="8" fillId="7" borderId="8" xfId="0" applyNumberFormat="1" applyFont="1" applyFill="1" applyBorder="1" applyAlignment="1">
      <alignment horizontal="center" vertical="center" wrapText="1"/>
    </xf>
    <xf numFmtId="49" fontId="6" fillId="4" borderId="8" xfId="21" applyNumberFormat="1" applyFont="1" applyFill="1" applyBorder="1" applyAlignment="1">
      <alignment horizontal="left" vertical="center" wrapText="1"/>
    </xf>
    <xf numFmtId="1" fontId="6" fillId="4" borderId="8" xfId="12" applyNumberFormat="1" applyFont="1" applyFill="1" applyBorder="1" applyAlignment="1">
      <alignment horizontal="center" vertical="center" wrapText="1"/>
    </xf>
    <xf numFmtId="166" fontId="6" fillId="7" borderId="8" xfId="0" applyNumberFormat="1" applyFont="1" applyFill="1" applyBorder="1" applyAlignment="1">
      <alignment horizontal="center" vertical="center" wrapText="1"/>
    </xf>
    <xf numFmtId="49" fontId="4" fillId="7" borderId="8" xfId="0" applyNumberFormat="1" applyFont="1" applyFill="1" applyBorder="1" applyAlignment="1">
      <alignment horizontal="center" vertical="center" wrapText="1"/>
    </xf>
    <xf numFmtId="168" fontId="6" fillId="7" borderId="6" xfId="0" applyNumberFormat="1" applyFont="1" applyFill="1" applyBorder="1" applyAlignment="1">
      <alignment horizontal="left" vertical="center" wrapText="1"/>
    </xf>
    <xf numFmtId="0" fontId="8" fillId="4" borderId="12" xfId="0" applyFont="1" applyFill="1" applyBorder="1" applyAlignment="1">
      <alignment horizontal="left" vertical="center" wrapText="1"/>
    </xf>
    <xf numFmtId="1" fontId="6" fillId="4" borderId="12" xfId="12" applyNumberFormat="1" applyFont="1" applyFill="1" applyBorder="1" applyAlignment="1">
      <alignment horizontal="center" vertical="center" wrapText="1"/>
    </xf>
    <xf numFmtId="3" fontId="6" fillId="5" borderId="12" xfId="0" applyNumberFormat="1" applyFont="1" applyFill="1" applyBorder="1" applyAlignment="1" applyProtection="1">
      <alignment horizontal="center" vertical="center"/>
      <protection locked="0"/>
    </xf>
    <xf numFmtId="3" fontId="6" fillId="4" borderId="12" xfId="0" applyNumberFormat="1" applyFont="1" applyFill="1" applyBorder="1" applyAlignment="1" applyProtection="1">
      <alignment horizontal="center" vertical="center"/>
      <protection locked="0"/>
    </xf>
    <xf numFmtId="168" fontId="4" fillId="4" borderId="8" xfId="0" applyNumberFormat="1" applyFont="1" applyFill="1" applyBorder="1" applyAlignment="1">
      <alignment horizontal="center" vertical="center" wrapText="1"/>
    </xf>
    <xf numFmtId="3" fontId="6" fillId="4" borderId="16" xfId="1" applyNumberFormat="1" applyFont="1" applyFill="1" applyBorder="1" applyAlignment="1" applyProtection="1">
      <alignment horizontal="center" vertical="center" wrapText="1"/>
    </xf>
    <xf numFmtId="168" fontId="8" fillId="4" borderId="6" xfId="0" applyNumberFormat="1" applyFont="1" applyFill="1" applyBorder="1" applyAlignment="1">
      <alignment horizontal="left" vertical="top" wrapText="1"/>
    </xf>
    <xf numFmtId="49" fontId="6" fillId="4" borderId="6" xfId="0" applyNumberFormat="1" applyFont="1" applyFill="1" applyBorder="1" applyAlignment="1">
      <alignment horizontal="center" vertical="center" wrapText="1"/>
    </xf>
    <xf numFmtId="0" fontId="8" fillId="4" borderId="6" xfId="0" applyFont="1" applyFill="1" applyBorder="1"/>
    <xf numFmtId="3" fontId="6" fillId="4" borderId="5" xfId="0" applyNumberFormat="1" applyFont="1" applyFill="1" applyBorder="1" applyAlignment="1">
      <alignment horizontal="center" vertical="center"/>
    </xf>
    <xf numFmtId="4" fontId="6" fillId="4" borderId="5" xfId="1" applyNumberFormat="1" applyFont="1" applyFill="1" applyBorder="1" applyAlignment="1" applyProtection="1">
      <alignment horizontal="center" vertical="center" wrapText="1"/>
    </xf>
    <xf numFmtId="3" fontId="6" fillId="5"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169" fontId="6" fillId="4" borderId="8" xfId="0" applyNumberFormat="1" applyFont="1" applyFill="1" applyBorder="1" applyAlignment="1">
      <alignment horizontal="center" vertical="center" wrapText="1"/>
    </xf>
    <xf numFmtId="49" fontId="6" fillId="4" borderId="6" xfId="0" applyNumberFormat="1" applyFont="1" applyFill="1" applyBorder="1" applyAlignment="1">
      <alignment horizontal="left" vertical="top" wrapText="1"/>
    </xf>
    <xf numFmtId="49" fontId="8" fillId="4" borderId="8" xfId="21" applyNumberFormat="1" applyFont="1" applyFill="1" applyBorder="1" applyAlignment="1">
      <alignment horizontal="left" vertical="top" wrapText="1"/>
    </xf>
    <xf numFmtId="1" fontId="6" fillId="4" borderId="6" xfId="12"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4" fontId="6" fillId="5" borderId="5" xfId="0" applyNumberFormat="1" applyFont="1" applyFill="1" applyBorder="1" applyAlignment="1">
      <alignment horizontal="center" vertical="center" wrapText="1"/>
    </xf>
    <xf numFmtId="3" fontId="8" fillId="5" borderId="6" xfId="0" applyNumberFormat="1" applyFont="1" applyFill="1" applyBorder="1" applyAlignment="1">
      <alignment horizontal="left" vertical="center" wrapText="1"/>
    </xf>
    <xf numFmtId="1" fontId="6" fillId="4" borderId="6" xfId="12" applyNumberFormat="1" applyFont="1" applyFill="1" applyBorder="1" applyAlignment="1">
      <alignment horizontal="left" vertical="center"/>
    </xf>
    <xf numFmtId="0" fontId="8" fillId="4"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 fontId="6" fillId="4" borderId="15" xfId="0" applyNumberFormat="1" applyFont="1" applyFill="1" applyBorder="1" applyAlignment="1">
      <alignment horizontal="center" vertical="center" wrapText="1"/>
    </xf>
    <xf numFmtId="3" fontId="6" fillId="3" borderId="15" xfId="17" applyNumberFormat="1" applyFont="1" applyFill="1" applyBorder="1" applyAlignment="1">
      <alignment horizontal="center" vertical="center" wrapText="1"/>
    </xf>
    <xf numFmtId="166" fontId="6" fillId="4" borderId="15" xfId="2" applyNumberFormat="1" applyFont="1" applyFill="1" applyBorder="1" applyAlignment="1" applyProtection="1">
      <alignment horizontal="center" vertical="center"/>
    </xf>
    <xf numFmtId="166" fontId="6" fillId="4" borderId="15"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3" fontId="6" fillId="4" borderId="17" xfId="1" applyNumberFormat="1" applyFont="1" applyFill="1" applyBorder="1" applyAlignment="1" applyProtection="1">
      <alignment horizontal="center" vertical="center" wrapText="1"/>
    </xf>
    <xf numFmtId="166" fontId="6" fillId="4" borderId="15" xfId="0" applyNumberFormat="1" applyFont="1" applyFill="1" applyBorder="1" applyAlignment="1">
      <alignment horizontal="center" vertical="center"/>
    </xf>
    <xf numFmtId="1" fontId="6" fillId="5" borderId="6" xfId="12" applyNumberFormat="1" applyFont="1" applyFill="1" applyBorder="1" applyAlignment="1">
      <alignment horizontal="left" vertical="center" wrapText="1"/>
    </xf>
    <xf numFmtId="49" fontId="8" fillId="4" borderId="8" xfId="21" applyNumberFormat="1" applyFont="1" applyFill="1" applyBorder="1" applyAlignment="1">
      <alignment horizontal="center" vertical="center" wrapText="1"/>
    </xf>
    <xf numFmtId="49" fontId="8" fillId="4" borderId="6" xfId="0" applyNumberFormat="1" applyFont="1" applyFill="1" applyBorder="1" applyAlignment="1" applyProtection="1">
      <alignment horizontal="left" vertical="center" wrapText="1"/>
      <protection locked="0"/>
    </xf>
    <xf numFmtId="0" fontId="6" fillId="4" borderId="9" xfId="0" applyFont="1" applyFill="1" applyBorder="1" applyAlignment="1">
      <alignment horizontal="left" vertical="center" wrapText="1"/>
    </xf>
    <xf numFmtId="0" fontId="6" fillId="4" borderId="9" xfId="0" applyFont="1" applyFill="1" applyBorder="1" applyAlignment="1">
      <alignment horizontal="center" vertical="center"/>
    </xf>
    <xf numFmtId="49" fontId="6" fillId="4" borderId="9"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1" fontId="6" fillId="4" borderId="9" xfId="0" applyNumberFormat="1" applyFont="1" applyFill="1" applyBorder="1" applyAlignment="1">
      <alignment horizontal="center" vertical="center" wrapText="1"/>
    </xf>
    <xf numFmtId="3" fontId="6" fillId="3" borderId="9" xfId="0" applyNumberFormat="1" applyFont="1" applyFill="1" applyBorder="1" applyAlignment="1">
      <alignment horizontal="center" vertical="center"/>
    </xf>
    <xf numFmtId="166" fontId="6" fillId="4" borderId="9" xfId="15" applyNumberFormat="1" applyFont="1" applyFill="1" applyBorder="1" applyAlignment="1" applyProtection="1">
      <alignment horizontal="center" vertical="center"/>
    </xf>
    <xf numFmtId="3" fontId="6" fillId="4" borderId="9" xfId="15" applyNumberFormat="1" applyFont="1" applyFill="1" applyBorder="1" applyAlignment="1" applyProtection="1">
      <alignment horizontal="center" vertical="center"/>
    </xf>
    <xf numFmtId="3" fontId="6" fillId="4" borderId="9" xfId="0" applyNumberFormat="1" applyFont="1" applyFill="1" applyBorder="1" applyAlignment="1">
      <alignment horizontal="center" vertical="center"/>
    </xf>
    <xf numFmtId="0" fontId="6" fillId="4" borderId="9" xfId="15" applyFont="1" applyFill="1" applyBorder="1" applyAlignment="1" applyProtection="1">
      <alignment horizontal="center" vertical="center" wrapText="1"/>
    </xf>
    <xf numFmtId="3" fontId="6" fillId="4" borderId="18" xfId="0" applyNumberFormat="1" applyFont="1" applyFill="1" applyBorder="1" applyAlignment="1">
      <alignment horizontal="center" vertical="center" wrapText="1"/>
    </xf>
    <xf numFmtId="49" fontId="8" fillId="4" borderId="10" xfId="0" applyNumberFormat="1" applyFont="1" applyFill="1" applyBorder="1" applyAlignment="1">
      <alignment horizontal="left" vertical="center" wrapText="1"/>
    </xf>
    <xf numFmtId="0" fontId="7" fillId="3" borderId="20" xfId="0" applyFont="1" applyFill="1" applyBorder="1" applyAlignment="1">
      <alignment horizontal="center" vertical="center"/>
    </xf>
    <xf numFmtId="3" fontId="7" fillId="3" borderId="20" xfId="0" applyNumberFormat="1" applyFont="1" applyFill="1" applyBorder="1" applyAlignment="1">
      <alignment horizontal="center" vertical="center"/>
    </xf>
    <xf numFmtId="4" fontId="7" fillId="3" borderId="20" xfId="0" applyNumberFormat="1" applyFont="1" applyFill="1" applyBorder="1" applyAlignment="1">
      <alignment horizontal="center" vertical="center"/>
    </xf>
    <xf numFmtId="0" fontId="6" fillId="3" borderId="20" xfId="0" applyFont="1" applyFill="1" applyBorder="1" applyAlignment="1">
      <alignment horizontal="center" vertical="center"/>
    </xf>
    <xf numFmtId="49" fontId="6" fillId="3" borderId="20" xfId="0" applyNumberFormat="1" applyFont="1" applyFill="1" applyBorder="1" applyAlignment="1">
      <alignment horizontal="center" vertical="center" wrapText="1"/>
    </xf>
    <xf numFmtId="49" fontId="8" fillId="3" borderId="21" xfId="0" applyNumberFormat="1" applyFont="1" applyFill="1" applyBorder="1" applyAlignment="1">
      <alignment horizontal="left" vertical="center" wrapText="1"/>
    </xf>
    <xf numFmtId="0" fontId="20" fillId="0" borderId="8" xfId="5" applyFont="1" applyBorder="1" applyAlignment="1">
      <alignment horizontal="left"/>
    </xf>
    <xf numFmtId="0" fontId="30" fillId="0" borderId="0" xfId="5" applyFont="1" applyAlignment="1">
      <alignment horizontal="left"/>
    </xf>
    <xf numFmtId="0" fontId="19" fillId="0" borderId="0" xfId="5" applyFont="1" applyAlignment="1">
      <alignment horizontal="left"/>
    </xf>
    <xf numFmtId="0" fontId="20" fillId="0" borderId="0" xfId="5" applyFont="1" applyAlignment="1">
      <alignment horizontal="left"/>
    </xf>
    <xf numFmtId="3" fontId="20" fillId="3" borderId="0" xfId="5" applyNumberFormat="1" applyFont="1" applyFill="1" applyAlignment="1">
      <alignment horizontal="center"/>
    </xf>
    <xf numFmtId="0" fontId="20" fillId="0" borderId="0" xfId="5" applyFont="1" applyAlignment="1">
      <alignment horizontal="center"/>
    </xf>
    <xf numFmtId="4" fontId="20" fillId="0" borderId="0" xfId="5" applyNumberFormat="1" applyFont="1" applyAlignment="1">
      <alignment horizontal="left"/>
    </xf>
    <xf numFmtId="0" fontId="20" fillId="0" borderId="0" xfId="5" applyFont="1" applyAlignment="1">
      <alignment vertical="center"/>
    </xf>
    <xf numFmtId="0" fontId="31" fillId="0" borderId="0" xfId="5" applyFont="1"/>
    <xf numFmtId="0" fontId="20" fillId="0" borderId="0" xfId="5" applyFont="1" applyBorder="1" applyAlignment="1">
      <alignment horizontal="left" vertical="center" wrapText="1"/>
    </xf>
    <xf numFmtId="3" fontId="20" fillId="3" borderId="0" xfId="5" applyNumberFormat="1" applyFont="1" applyFill="1" applyBorder="1" applyAlignment="1">
      <alignment horizontal="center" vertical="center" wrapText="1"/>
    </xf>
    <xf numFmtId="0" fontId="20" fillId="0" borderId="0" xfId="5" applyFont="1" applyBorder="1" applyAlignment="1">
      <alignment horizontal="center" vertical="center" wrapText="1"/>
    </xf>
    <xf numFmtId="4" fontId="20" fillId="0" borderId="0" xfId="5" applyNumberFormat="1" applyFont="1" applyBorder="1" applyAlignment="1">
      <alignment horizontal="left" vertical="center" wrapText="1"/>
    </xf>
    <xf numFmtId="0" fontId="20" fillId="0" borderId="0" xfId="0" applyFont="1" applyBorder="1" applyAlignment="1">
      <alignment horizontal="center" vertical="center"/>
    </xf>
    <xf numFmtId="0" fontId="19" fillId="0" borderId="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0" xfId="16" applyFont="1" applyBorder="1" applyAlignment="1" applyProtection="1">
      <alignment horizontal="center" vertical="center"/>
    </xf>
    <xf numFmtId="0" fontId="19" fillId="0" borderId="0" xfId="16" applyFont="1" applyBorder="1" applyAlignment="1" applyProtection="1">
      <alignment horizontal="center" vertical="center" wrapText="1"/>
    </xf>
    <xf numFmtId="166" fontId="20" fillId="0" borderId="0" xfId="0" applyNumberFormat="1" applyFont="1" applyBorder="1" applyAlignment="1">
      <alignment horizontal="center" vertical="center" wrapText="1"/>
    </xf>
    <xf numFmtId="3" fontId="20" fillId="3" borderId="0" xfId="0" applyNumberFormat="1" applyFont="1" applyFill="1" applyBorder="1" applyAlignment="1">
      <alignment horizontal="center" vertical="center" wrapText="1"/>
    </xf>
    <xf numFmtId="3" fontId="20" fillId="0" borderId="0" xfId="0" applyNumberFormat="1" applyFont="1" applyBorder="1" applyAlignment="1">
      <alignment horizontal="center" vertical="center" wrapText="1"/>
    </xf>
    <xf numFmtId="0" fontId="20" fillId="0" borderId="0" xfId="0" applyFont="1" applyBorder="1" applyAlignment="1">
      <alignment horizontal="center" vertical="center" wrapText="1"/>
    </xf>
    <xf numFmtId="3" fontId="20" fillId="0" borderId="0" xfId="0" applyNumberFormat="1" applyFont="1" applyBorder="1" applyAlignment="1">
      <alignment horizontal="right" vertical="center" wrapText="1"/>
    </xf>
    <xf numFmtId="3" fontId="20" fillId="0" borderId="0" xfId="0" applyNumberFormat="1" applyFont="1" applyBorder="1" applyAlignment="1">
      <alignment horizontal="right" vertical="center"/>
    </xf>
    <xf numFmtId="0" fontId="19" fillId="0" borderId="0" xfId="0" applyFont="1" applyBorder="1" applyAlignment="1">
      <alignment horizontal="right" vertical="center" wrapText="1"/>
    </xf>
    <xf numFmtId="3" fontId="19" fillId="0" borderId="0" xfId="0" applyNumberFormat="1" applyFont="1" applyBorder="1" applyAlignment="1">
      <alignment horizontal="right" vertical="center" wrapText="1"/>
    </xf>
    <xf numFmtId="3" fontId="19" fillId="0" borderId="0" xfId="0" applyNumberFormat="1" applyFont="1" applyBorder="1" applyAlignment="1">
      <alignment horizontal="right" vertical="center"/>
    </xf>
    <xf numFmtId="0" fontId="7" fillId="0" borderId="0" xfId="0" applyFont="1" applyBorder="1" applyAlignment="1">
      <alignment horizontal="left" vertical="center" wrapText="1"/>
    </xf>
    <xf numFmtId="0" fontId="20" fillId="0" borderId="0" xfId="15" applyFont="1" applyBorder="1" applyAlignment="1" applyProtection="1">
      <alignment horizontal="center" vertical="center" wrapText="1"/>
    </xf>
    <xf numFmtId="3" fontId="6" fillId="0" borderId="0" xfId="0" applyNumberFormat="1" applyFont="1" applyBorder="1" applyAlignment="1">
      <alignment vertical="center" wrapText="1"/>
    </xf>
    <xf numFmtId="0" fontId="6" fillId="0" borderId="0" xfId="9" applyFont="1" applyBorder="1" applyAlignment="1"/>
    <xf numFmtId="0" fontId="7" fillId="0" borderId="0" xfId="0" applyFont="1" applyBorder="1" applyAlignment="1">
      <alignment vertical="center" wrapText="1"/>
    </xf>
    <xf numFmtId="0" fontId="6" fillId="0" borderId="0" xfId="0" applyFont="1" applyBorder="1" applyAlignment="1">
      <alignment horizontal="center" vertical="center" wrapText="1"/>
    </xf>
    <xf numFmtId="4" fontId="6" fillId="0" borderId="0" xfId="0" applyNumberFormat="1" applyFont="1" applyBorder="1" applyAlignment="1">
      <alignment horizontal="center" vertical="center"/>
    </xf>
    <xf numFmtId="0" fontId="32" fillId="0" borderId="0" xfId="0" applyFont="1" applyBorder="1" applyAlignment="1">
      <alignment horizontal="left" vertical="center" wrapText="1"/>
    </xf>
    <xf numFmtId="0" fontId="33" fillId="0" borderId="0" xfId="0" applyFont="1" applyBorder="1" applyAlignment="1">
      <alignment horizontal="left" vertical="center" wrapText="1"/>
    </xf>
    <xf numFmtId="0" fontId="20" fillId="0" borderId="0" xfId="0" applyFont="1" applyAlignment="1">
      <alignment horizontal="left" vertical="center" wrapText="1"/>
    </xf>
    <xf numFmtId="4" fontId="20" fillId="0" borderId="0" xfId="0" applyNumberFormat="1" applyFont="1" applyAlignment="1">
      <alignment horizontal="left" vertical="center" wrapText="1"/>
    </xf>
    <xf numFmtId="3" fontId="20"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6" fillId="0" borderId="0" xfId="0" applyFont="1" applyAlignment="1">
      <alignment vertical="center"/>
    </xf>
    <xf numFmtId="4" fontId="6" fillId="0" borderId="0" xfId="0" applyNumberFormat="1" applyFont="1" applyAlignment="1">
      <alignment horizontal="left" vertical="center" wrapText="1"/>
    </xf>
    <xf numFmtId="4" fontId="6" fillId="0" borderId="0" xfId="0" applyNumberFormat="1" applyFont="1" applyAlignment="1">
      <alignment vertical="center" wrapText="1"/>
    </xf>
    <xf numFmtId="3" fontId="6" fillId="0" borderId="0" xfId="9" applyNumberFormat="1" applyFont="1" applyAlignment="1"/>
    <xf numFmtId="3" fontId="7" fillId="3" borderId="0" xfId="0" applyNumberFormat="1" applyFont="1" applyFill="1" applyBorder="1" applyAlignment="1">
      <alignment horizontal="center" vertical="center" wrapText="1"/>
    </xf>
    <xf numFmtId="3" fontId="7" fillId="0" borderId="0" xfId="0" applyNumberFormat="1"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34" fillId="0" borderId="0" xfId="0" applyFont="1" applyBorder="1" applyAlignment="1">
      <alignment horizontal="left" vertical="top"/>
    </xf>
    <xf numFmtId="0" fontId="35" fillId="0" borderId="0" xfId="0" applyFont="1" applyBorder="1" applyAlignment="1">
      <alignment horizontal="center" vertical="top"/>
    </xf>
    <xf numFmtId="0" fontId="34" fillId="0" borderId="0" xfId="0" applyFont="1" applyBorder="1" applyAlignment="1">
      <alignment vertical="top"/>
    </xf>
    <xf numFmtId="3" fontId="34" fillId="3" borderId="0" xfId="0" applyNumberFormat="1" applyFont="1" applyFill="1" applyBorder="1" applyAlignment="1">
      <alignment horizontal="center" vertical="top"/>
    </xf>
    <xf numFmtId="0" fontId="35" fillId="0" borderId="0" xfId="0" applyFont="1" applyBorder="1" applyAlignment="1">
      <alignment vertical="center"/>
    </xf>
    <xf numFmtId="3" fontId="36" fillId="0" borderId="0" xfId="0" applyNumberFormat="1" applyFont="1" applyAlignment="1">
      <alignment horizontal="left" vertical="center" wrapText="1"/>
    </xf>
    <xf numFmtId="0" fontId="36" fillId="0" borderId="0" xfId="0" applyFont="1" applyAlignment="1">
      <alignment vertical="center" wrapText="1"/>
    </xf>
    <xf numFmtId="3" fontId="7" fillId="0" borderId="0" xfId="0" applyNumberFormat="1" applyFont="1" applyAlignment="1">
      <alignment vertical="center" wrapText="1"/>
    </xf>
    <xf numFmtId="0" fontId="7" fillId="0" borderId="0" xfId="9" applyFont="1" applyAlignment="1">
      <alignment vertical="center" wrapText="1"/>
    </xf>
    <xf numFmtId="0" fontId="35" fillId="0" borderId="0" xfId="0" applyFont="1" applyBorder="1" applyAlignment="1">
      <alignment vertical="center" wrapText="1"/>
    </xf>
    <xf numFmtId="3" fontId="35" fillId="3" borderId="0" xfId="0" applyNumberFormat="1" applyFont="1" applyFill="1" applyBorder="1" applyAlignment="1">
      <alignment horizontal="center"/>
    </xf>
    <xf numFmtId="0" fontId="34" fillId="0" borderId="0" xfId="0" applyFont="1" applyBorder="1" applyAlignment="1">
      <alignment vertical="center"/>
    </xf>
    <xf numFmtId="0" fontId="6" fillId="0" borderId="0" xfId="10" applyFont="1" applyAlignment="1"/>
    <xf numFmtId="0" fontId="6" fillId="0" borderId="0" xfId="10" applyFont="1" applyAlignment="1">
      <alignment horizontal="left"/>
    </xf>
    <xf numFmtId="3" fontId="37" fillId="0" borderId="0" xfId="10" applyNumberFormat="1" applyFont="1" applyAlignment="1">
      <alignment horizontal="left"/>
    </xf>
    <xf numFmtId="3" fontId="37" fillId="0" borderId="0" xfId="10" applyNumberFormat="1" applyFont="1" applyAlignment="1">
      <alignment horizontal="center"/>
    </xf>
    <xf numFmtId="0" fontId="37" fillId="0" borderId="0" xfId="10" applyFont="1" applyAlignment="1">
      <alignment wrapText="1"/>
    </xf>
    <xf numFmtId="3" fontId="37" fillId="0" borderId="0" xfId="12" applyNumberFormat="1" applyFont="1" applyAlignment="1">
      <alignment horizontal="center" vertical="center"/>
    </xf>
    <xf numFmtId="0" fontId="37" fillId="0" borderId="0" xfId="12" applyFont="1" applyAlignment="1">
      <alignment vertical="center" wrapText="1"/>
    </xf>
    <xf numFmtId="0" fontId="6" fillId="0" borderId="0" xfId="12" applyFont="1" applyAlignment="1">
      <alignment vertical="center"/>
    </xf>
    <xf numFmtId="0" fontId="6" fillId="0" borderId="0" xfId="12" applyFont="1" applyAlignment="1">
      <alignment horizontal="center" vertical="center"/>
    </xf>
    <xf numFmtId="3" fontId="34" fillId="3" borderId="0" xfId="16" applyNumberFormat="1" applyFont="1" applyFill="1" applyBorder="1" applyAlignment="1" applyProtection="1">
      <alignment horizontal="center"/>
    </xf>
    <xf numFmtId="3" fontId="6" fillId="0" borderId="0" xfId="0" applyNumberFormat="1" applyFont="1" applyAlignment="1">
      <alignment vertical="center"/>
    </xf>
    <xf numFmtId="3" fontId="36" fillId="0" borderId="0" xfId="9" applyNumberFormat="1" applyFont="1" applyAlignment="1">
      <alignment vertical="center" wrapText="1"/>
    </xf>
    <xf numFmtId="3" fontId="36" fillId="0" borderId="0" xfId="9" applyNumberFormat="1" applyFont="1" applyAlignment="1">
      <alignment horizontal="center" vertical="center" wrapText="1"/>
    </xf>
    <xf numFmtId="0" fontId="6" fillId="0" borderId="0" xfId="0" applyFont="1" applyBorder="1" applyAlignment="1">
      <alignment horizontal="center" vertical="center"/>
    </xf>
    <xf numFmtId="0" fontId="7" fillId="0" borderId="0" xfId="9" applyFont="1" applyBorder="1" applyAlignment="1">
      <alignment horizontal="center"/>
    </xf>
    <xf numFmtId="0" fontId="7" fillId="0" borderId="0" xfId="9" applyFont="1" applyBorder="1" applyAlignment="1">
      <alignment horizontal="center" vertical="center" wrapText="1"/>
    </xf>
    <xf numFmtId="3" fontId="7" fillId="3" borderId="0" xfId="9" applyNumberFormat="1" applyFont="1" applyFill="1" applyBorder="1" applyAlignment="1">
      <alignment horizontal="center" vertical="center" wrapText="1"/>
    </xf>
    <xf numFmtId="3" fontId="7" fillId="0" borderId="0" xfId="9" applyNumberFormat="1" applyFont="1" applyBorder="1" applyAlignment="1">
      <alignment vertical="center" wrapText="1"/>
    </xf>
    <xf numFmtId="0" fontId="7" fillId="0" borderId="0" xfId="9" applyFont="1" applyBorder="1" applyAlignment="1">
      <alignment vertical="center" wrapText="1"/>
    </xf>
    <xf numFmtId="3" fontId="36" fillId="0" borderId="0" xfId="10" applyNumberFormat="1" applyFont="1" applyBorder="1" applyAlignment="1">
      <alignment horizontal="left"/>
    </xf>
    <xf numFmtId="3" fontId="37" fillId="0" borderId="0" xfId="10" applyNumberFormat="1" applyFont="1" applyBorder="1" applyAlignment="1">
      <alignment horizontal="left"/>
    </xf>
    <xf numFmtId="3" fontId="37" fillId="0" borderId="0" xfId="0" applyNumberFormat="1" applyFont="1" applyBorder="1" applyAlignment="1">
      <alignment horizontal="right" vertical="center"/>
    </xf>
    <xf numFmtId="3" fontId="37" fillId="0" borderId="0" xfId="0" applyNumberFormat="1" applyFont="1" applyAlignment="1">
      <alignment horizontal="right" vertical="center"/>
    </xf>
    <xf numFmtId="3" fontId="37" fillId="0" borderId="0" xfId="0" applyNumberFormat="1" applyFont="1" applyAlignment="1">
      <alignment horizontal="center" vertical="center"/>
    </xf>
    <xf numFmtId="0" fontId="37" fillId="0" borderId="0" xfId="0" applyFont="1" applyAlignment="1">
      <alignment vertical="center" wrapText="1"/>
    </xf>
    <xf numFmtId="3" fontId="7" fillId="0" borderId="0" xfId="9" applyNumberFormat="1" applyFont="1" applyAlignment="1">
      <alignment vertical="center" wrapText="1"/>
    </xf>
    <xf numFmtId="0" fontId="19" fillId="0" borderId="0" xfId="5" applyFont="1" applyBorder="1" applyAlignment="1">
      <alignment horizontal="left" vertical="top" wrapText="1"/>
    </xf>
    <xf numFmtId="0" fontId="6" fillId="3" borderId="0" xfId="0" applyFont="1" applyFill="1" applyBorder="1"/>
    <xf numFmtId="49" fontId="7" fillId="3" borderId="0" xfId="0" applyNumberFormat="1" applyFont="1" applyFill="1" applyBorder="1" applyAlignment="1">
      <alignment horizontal="left" vertical="center" wrapText="1"/>
    </xf>
    <xf numFmtId="0" fontId="12" fillId="3" borderId="0" xfId="0" applyFont="1" applyFill="1" applyBorder="1"/>
    <xf numFmtId="0" fontId="6" fillId="3" borderId="0" xfId="0" applyFont="1" applyFill="1" applyBorder="1" applyAlignment="1">
      <alignment horizontal="center"/>
    </xf>
    <xf numFmtId="4" fontId="6" fillId="3" borderId="0" xfId="0" applyNumberFormat="1" applyFont="1" applyFill="1" applyBorder="1"/>
    <xf numFmtId="3" fontId="7" fillId="3" borderId="0" xfId="0" applyNumberFormat="1" applyFont="1" applyFill="1" applyBorder="1"/>
    <xf numFmtId="49" fontId="7" fillId="3" borderId="16" xfId="0"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0" fontId="7" fillId="3" borderId="22" xfId="0" applyFont="1" applyFill="1" applyBorder="1" applyAlignment="1">
      <alignment horizontal="center"/>
    </xf>
    <xf numFmtId="4" fontId="7" fillId="3" borderId="23" xfId="0" applyNumberFormat="1" applyFont="1" applyFill="1" applyBorder="1" applyAlignment="1">
      <alignment horizontal="center" vertical="center"/>
    </xf>
    <xf numFmtId="4" fontId="7" fillId="3" borderId="9" xfId="0" applyNumberFormat="1" applyFont="1" applyFill="1" applyBorder="1" applyAlignment="1">
      <alignment horizontal="center" vertical="center"/>
    </xf>
    <xf numFmtId="49" fontId="8" fillId="0" borderId="0" xfId="0" applyNumberFormat="1" applyFont="1" applyBorder="1" applyAlignment="1">
      <alignment horizontal="left" vertical="center" wrapText="1"/>
    </xf>
    <xf numFmtId="4" fontId="28" fillId="3" borderId="0" xfId="0" applyNumberFormat="1" applyFont="1" applyFill="1" applyBorder="1"/>
    <xf numFmtId="49" fontId="28" fillId="3" borderId="0" xfId="0" applyNumberFormat="1" applyFont="1" applyFill="1" applyBorder="1" applyAlignment="1">
      <alignment wrapText="1"/>
    </xf>
    <xf numFmtId="0" fontId="28" fillId="3" borderId="0" xfId="0" applyFont="1" applyFill="1"/>
    <xf numFmtId="3" fontId="7" fillId="3" borderId="0" xfId="0" applyNumberFormat="1" applyFont="1" applyFill="1" applyAlignment="1">
      <alignment horizontal="center" vertical="center" wrapText="1"/>
    </xf>
    <xf numFmtId="4" fontId="7" fillId="3" borderId="0" xfId="0" applyNumberFormat="1" applyFont="1" applyFill="1" applyBorder="1" applyAlignment="1">
      <alignment horizontal="center" vertical="center" wrapText="1"/>
    </xf>
    <xf numFmtId="4" fontId="6" fillId="3" borderId="8" xfId="0" applyNumberFormat="1" applyFont="1" applyFill="1" applyBorder="1" applyAlignment="1">
      <alignment horizontal="left" wrapText="1"/>
    </xf>
    <xf numFmtId="49" fontId="6" fillId="3" borderId="5" xfId="0" applyNumberFormat="1" applyFont="1" applyFill="1" applyBorder="1" applyAlignment="1">
      <alignment horizontal="center" wrapText="1"/>
    </xf>
    <xf numFmtId="49" fontId="6" fillId="3" borderId="0" xfId="0" applyNumberFormat="1" applyFont="1" applyFill="1" applyBorder="1" applyAlignment="1">
      <alignment horizontal="center" wrapText="1"/>
    </xf>
    <xf numFmtId="0" fontId="6" fillId="3" borderId="24" xfId="0" applyFont="1" applyFill="1" applyBorder="1" applyAlignment="1">
      <alignment horizontal="center"/>
    </xf>
    <xf numFmtId="49" fontId="7" fillId="3" borderId="25" xfId="0" applyNumberFormat="1" applyFont="1" applyFill="1" applyBorder="1" applyAlignment="1">
      <alignment horizontal="center" wrapText="1"/>
    </xf>
    <xf numFmtId="49" fontId="7" fillId="3" borderId="26" xfId="0" applyNumberFormat="1" applyFont="1" applyFill="1" applyBorder="1" applyAlignment="1">
      <alignment horizontal="center" wrapText="1"/>
    </xf>
    <xf numFmtId="3" fontId="28" fillId="3" borderId="0" xfId="0" applyNumberFormat="1" applyFont="1" applyFill="1" applyBorder="1"/>
    <xf numFmtId="3" fontId="28" fillId="3" borderId="0" xfId="0" applyNumberFormat="1" applyFont="1" applyFill="1" applyBorder="1" applyAlignment="1">
      <alignment wrapText="1"/>
    </xf>
    <xf numFmtId="3" fontId="28" fillId="3" borderId="0" xfId="0" applyNumberFormat="1" applyFont="1" applyFill="1"/>
    <xf numFmtId="0" fontId="6" fillId="3" borderId="0" xfId="0" applyFont="1" applyFill="1" applyBorder="1" applyAlignment="1"/>
    <xf numFmtId="49" fontId="8" fillId="3" borderId="8" xfId="0" applyNumberFormat="1" applyFont="1" applyFill="1" applyBorder="1" applyAlignment="1">
      <alignment horizontal="left" vertical="center" wrapText="1"/>
    </xf>
    <xf numFmtId="0" fontId="6" fillId="3" borderId="8" xfId="0" applyFont="1" applyFill="1" applyBorder="1" applyAlignment="1">
      <alignment horizontal="center" vertical="center" wrapText="1"/>
    </xf>
    <xf numFmtId="166" fontId="12" fillId="3" borderId="8" xfId="2" applyNumberFormat="1" applyFont="1" applyFill="1" applyBorder="1" applyProtection="1"/>
    <xf numFmtId="1" fontId="6" fillId="3" borderId="8" xfId="0" applyNumberFormat="1" applyFont="1" applyFill="1" applyBorder="1"/>
    <xf numFmtId="3" fontId="8" fillId="3" borderId="8" xfId="0" applyNumberFormat="1" applyFont="1" applyFill="1" applyBorder="1" applyAlignment="1">
      <alignment horizontal="right" vertical="center"/>
    </xf>
    <xf numFmtId="1" fontId="6" fillId="3" borderId="5" xfId="0" applyNumberFormat="1" applyFont="1" applyFill="1" applyBorder="1"/>
    <xf numFmtId="1" fontId="6" fillId="3" borderId="8" xfId="0" applyNumberFormat="1" applyFont="1" applyFill="1" applyBorder="1" applyAlignment="1">
      <alignment horizontal="center"/>
    </xf>
    <xf numFmtId="2" fontId="6" fillId="3" borderId="5" xfId="0" applyNumberFormat="1" applyFont="1" applyFill="1" applyBorder="1" applyAlignment="1">
      <alignment horizontal="center"/>
    </xf>
    <xf numFmtId="2" fontId="6" fillId="3" borderId="27" xfId="0" applyNumberFormat="1" applyFont="1" applyFill="1" applyBorder="1" applyAlignment="1">
      <alignment horizontal="center"/>
    </xf>
    <xf numFmtId="0" fontId="6" fillId="3" borderId="7" xfId="0" applyFont="1" applyFill="1" applyBorder="1" applyAlignment="1">
      <alignment horizontal="center" vertical="center" wrapText="1"/>
    </xf>
    <xf numFmtId="3" fontId="6" fillId="3" borderId="8" xfId="0" applyNumberFormat="1" applyFont="1" applyFill="1" applyBorder="1" applyAlignment="1">
      <alignment horizontal="center"/>
    </xf>
    <xf numFmtId="3" fontId="6" fillId="3" borderId="6" xfId="0" applyNumberFormat="1" applyFont="1" applyFill="1" applyBorder="1"/>
    <xf numFmtId="3" fontId="14" fillId="0" borderId="0" xfId="2" applyNumberFormat="1" applyFont="1" applyBorder="1" applyAlignment="1" applyProtection="1">
      <alignment horizontal="left" vertical="center" wrapText="1"/>
    </xf>
    <xf numFmtId="4" fontId="28" fillId="3" borderId="0" xfId="0" applyNumberFormat="1" applyFont="1" applyFill="1" applyBorder="1" applyAlignment="1">
      <alignment wrapText="1"/>
    </xf>
    <xf numFmtId="4" fontId="28" fillId="3" borderId="0" xfId="0" applyNumberFormat="1" applyFont="1" applyFill="1"/>
    <xf numFmtId="49" fontId="6" fillId="3" borderId="8" xfId="0" applyNumberFormat="1" applyFont="1" applyFill="1" applyBorder="1" applyAlignment="1">
      <alignment horizontal="left" vertical="center" wrapText="1"/>
    </xf>
    <xf numFmtId="3" fontId="8" fillId="3" borderId="8" xfId="0" applyNumberFormat="1" applyFont="1" applyFill="1" applyBorder="1"/>
    <xf numFmtId="49" fontId="6" fillId="3" borderId="8" xfId="0" applyNumberFormat="1" applyFont="1" applyFill="1" applyBorder="1" applyAlignment="1">
      <alignment horizontal="left" vertical="center"/>
    </xf>
    <xf numFmtId="49" fontId="6" fillId="3" borderId="8" xfId="0" applyNumberFormat="1" applyFont="1" applyFill="1" applyBorder="1" applyAlignment="1">
      <alignment horizontal="center" vertical="center"/>
    </xf>
    <xf numFmtId="169" fontId="6" fillId="3" borderId="8" xfId="0" applyNumberFormat="1" applyFont="1" applyFill="1" applyBorder="1" applyAlignment="1">
      <alignment horizontal="center" vertical="center" wrapText="1"/>
    </xf>
    <xf numFmtId="169" fontId="6" fillId="3" borderId="7" xfId="0" applyNumberFormat="1" applyFont="1" applyFill="1" applyBorder="1" applyAlignment="1">
      <alignment horizontal="center" vertical="center" wrapText="1"/>
    </xf>
    <xf numFmtId="0" fontId="6" fillId="3" borderId="8" xfId="0" applyFont="1" applyFill="1" applyBorder="1" applyAlignment="1">
      <alignment horizontal="center" vertical="center"/>
    </xf>
    <xf numFmtId="49" fontId="6" fillId="3" borderId="0" xfId="0" applyNumberFormat="1" applyFont="1" applyFill="1" applyBorder="1" applyAlignment="1">
      <alignment horizontal="left" vertical="center" wrapText="1"/>
    </xf>
    <xf numFmtId="1" fontId="6" fillId="3" borderId="0" xfId="0" applyNumberFormat="1" applyFont="1" applyFill="1" applyBorder="1" applyAlignment="1">
      <alignment horizontal="center"/>
    </xf>
    <xf numFmtId="166" fontId="6" fillId="3" borderId="0" xfId="0" applyNumberFormat="1" applyFont="1" applyFill="1" applyBorder="1" applyAlignment="1">
      <alignment horizontal="center"/>
    </xf>
    <xf numFmtId="1" fontId="6" fillId="3" borderId="0" xfId="0" applyNumberFormat="1" applyFont="1" applyFill="1" applyBorder="1"/>
    <xf numFmtId="3" fontId="8" fillId="3" borderId="0" xfId="0" applyNumberFormat="1" applyFont="1" applyFill="1" applyBorder="1"/>
    <xf numFmtId="4" fontId="6" fillId="3" borderId="8" xfId="0" applyNumberFormat="1" applyFont="1" applyFill="1" applyBorder="1" applyAlignment="1">
      <alignment horizontal="left"/>
    </xf>
    <xf numFmtId="2" fontId="6" fillId="3" borderId="0" xfId="0" applyNumberFormat="1" applyFont="1" applyFill="1" applyBorder="1" applyAlignment="1">
      <alignment horizontal="center"/>
    </xf>
    <xf numFmtId="0" fontId="6" fillId="3" borderId="28" xfId="0" applyFont="1" applyFill="1" applyBorder="1" applyAlignment="1">
      <alignment horizontal="center"/>
    </xf>
    <xf numFmtId="3" fontId="7" fillId="3" borderId="1" xfId="0" applyNumberFormat="1" applyFont="1" applyFill="1" applyBorder="1" applyAlignment="1">
      <alignment horizontal="center"/>
    </xf>
    <xf numFmtId="3" fontId="7" fillId="3" borderId="29" xfId="0" applyNumberFormat="1" applyFont="1" applyFill="1" applyBorder="1" applyAlignment="1">
      <alignment horizontal="center"/>
    </xf>
    <xf numFmtId="49" fontId="6" fillId="3" borderId="0" xfId="0" applyNumberFormat="1" applyFont="1" applyFill="1" applyAlignment="1">
      <alignment horizontal="left" vertical="center" wrapText="1"/>
    </xf>
    <xf numFmtId="4" fontId="6" fillId="3" borderId="0" xfId="0" applyNumberFormat="1" applyFont="1" applyFill="1"/>
    <xf numFmtId="4" fontId="6" fillId="3" borderId="0" xfId="0" applyNumberFormat="1" applyFont="1" applyFill="1" applyAlignment="1">
      <alignment horizontal="center"/>
    </xf>
    <xf numFmtId="4" fontId="29" fillId="3" borderId="0" xfId="0" applyNumberFormat="1" applyFont="1" applyFill="1" applyAlignment="1">
      <alignment horizontal="center"/>
    </xf>
    <xf numFmtId="0" fontId="29" fillId="3" borderId="0" xfId="0" applyFont="1" applyFill="1" applyAlignment="1">
      <alignment horizontal="center"/>
    </xf>
    <xf numFmtId="49" fontId="7" fillId="3" borderId="0" xfId="0" applyNumberFormat="1" applyFont="1" applyFill="1" applyBorder="1" applyAlignment="1">
      <alignment horizontal="center" wrapText="1"/>
    </xf>
    <xf numFmtId="3" fontId="8" fillId="0" borderId="0" xfId="0" applyNumberFormat="1" applyFont="1" applyAlignment="1">
      <alignment horizontal="left"/>
    </xf>
    <xf numFmtId="3" fontId="28" fillId="3" borderId="0" xfId="0" applyNumberFormat="1" applyFont="1" applyFill="1" applyAlignment="1">
      <alignment horizontal="center"/>
    </xf>
    <xf numFmtId="4" fontId="28" fillId="3" borderId="0" xfId="0" applyNumberFormat="1" applyFont="1" applyFill="1" applyAlignment="1">
      <alignment horizontal="center" wrapText="1"/>
    </xf>
    <xf numFmtId="0" fontId="7" fillId="3" borderId="24" xfId="0" applyFont="1" applyFill="1" applyBorder="1" applyAlignment="1">
      <alignment horizontal="center"/>
    </xf>
    <xf numFmtId="0" fontId="7" fillId="3" borderId="30" xfId="0" applyFont="1" applyFill="1" applyBorder="1" applyAlignment="1">
      <alignment horizontal="center"/>
    </xf>
    <xf numFmtId="0" fontId="8" fillId="3" borderId="31" xfId="0" applyFont="1" applyFill="1" applyBorder="1" applyAlignment="1">
      <alignment horizontal="center"/>
    </xf>
    <xf numFmtId="0" fontId="8" fillId="3" borderId="0" xfId="0" applyFont="1" applyFill="1" applyBorder="1" applyAlignment="1">
      <alignment horizontal="center"/>
    </xf>
    <xf numFmtId="4" fontId="6" fillId="3" borderId="0" xfId="0" applyNumberFormat="1" applyFont="1" applyFill="1" applyBorder="1" applyAlignment="1">
      <alignment horizontal="center" vertical="center" wrapText="1"/>
    </xf>
    <xf numFmtId="4" fontId="14" fillId="3" borderId="8" xfId="0" applyNumberFormat="1" applyFont="1" applyFill="1" applyBorder="1"/>
    <xf numFmtId="0" fontId="12" fillId="3" borderId="0" xfId="0" applyFont="1" applyFill="1" applyAlignment="1">
      <alignment horizontal="center"/>
    </xf>
    <xf numFmtId="49" fontId="7" fillId="3" borderId="32" xfId="0" applyNumberFormat="1" applyFont="1" applyFill="1" applyBorder="1" applyAlignment="1">
      <alignment horizontal="center" wrapText="1"/>
    </xf>
    <xf numFmtId="49" fontId="28" fillId="3" borderId="0" xfId="0" applyNumberFormat="1" applyFont="1" applyFill="1" applyAlignment="1">
      <alignment wrapText="1"/>
    </xf>
    <xf numFmtId="0" fontId="6" fillId="3" borderId="2" xfId="0" applyFont="1" applyFill="1" applyBorder="1" applyAlignment="1">
      <alignment horizontal="center" vertical="center" wrapText="1"/>
    </xf>
    <xf numFmtId="4" fontId="6" fillId="3" borderId="8" xfId="0" applyNumberFormat="1" applyFont="1" applyFill="1" applyBorder="1"/>
    <xf numFmtId="4" fontId="8" fillId="3" borderId="8" xfId="0" applyNumberFormat="1" applyFont="1" applyFill="1" applyBorder="1"/>
    <xf numFmtId="4" fontId="8" fillId="3" borderId="4" xfId="0" applyNumberFormat="1" applyFont="1" applyFill="1" applyBorder="1" applyAlignment="1">
      <alignment horizontal="center"/>
    </xf>
    <xf numFmtId="3" fontId="7" fillId="3" borderId="11" xfId="0" applyNumberFormat="1" applyFont="1" applyFill="1" applyBorder="1"/>
    <xf numFmtId="4" fontId="6" fillId="3" borderId="33" xfId="0" applyNumberFormat="1" applyFont="1" applyFill="1" applyBorder="1"/>
    <xf numFmtId="0" fontId="9" fillId="3" borderId="2" xfId="0" applyFont="1" applyFill="1" applyBorder="1" applyAlignment="1">
      <alignment horizontal="center" vertical="center" wrapText="1"/>
    </xf>
    <xf numFmtId="166" fontId="7" fillId="3" borderId="8" xfId="0" applyNumberFormat="1" applyFont="1" applyFill="1" applyBorder="1" applyAlignment="1">
      <alignment horizontal="center"/>
    </xf>
    <xf numFmtId="0" fontId="39" fillId="3" borderId="8" xfId="0" applyFont="1" applyFill="1" applyBorder="1" applyAlignment="1">
      <alignment horizontal="center"/>
    </xf>
    <xf numFmtId="4" fontId="39" fillId="3" borderId="8" xfId="0" applyNumberFormat="1" applyFont="1" applyFill="1" applyBorder="1" applyAlignment="1">
      <alignment horizontal="center"/>
    </xf>
    <xf numFmtId="0" fontId="12" fillId="3" borderId="0" xfId="0" applyFont="1" applyFill="1" applyBorder="1" applyAlignment="1">
      <alignment horizontal="center"/>
    </xf>
    <xf numFmtId="0" fontId="9" fillId="3" borderId="7" xfId="0" applyFont="1" applyFill="1" applyBorder="1" applyAlignment="1">
      <alignment horizontal="center" vertical="center" wrapText="1"/>
    </xf>
    <xf numFmtId="0" fontId="39" fillId="3" borderId="8" xfId="0" applyFont="1" applyFill="1" applyBorder="1"/>
    <xf numFmtId="0" fontId="28" fillId="3" borderId="8" xfId="0" applyFont="1" applyFill="1" applyBorder="1"/>
    <xf numFmtId="4" fontId="28" fillId="3" borderId="8" xfId="0" applyNumberFormat="1" applyFont="1" applyFill="1" applyBorder="1" applyAlignment="1">
      <alignment horizontal="center"/>
    </xf>
    <xf numFmtId="4" fontId="28" fillId="3" borderId="8" xfId="0" applyNumberFormat="1" applyFont="1" applyFill="1" applyBorder="1"/>
    <xf numFmtId="169" fontId="9" fillId="3" borderId="7" xfId="0" applyNumberFormat="1" applyFont="1" applyFill="1" applyBorder="1" applyAlignment="1">
      <alignment horizontal="center" vertical="center" wrapText="1"/>
    </xf>
    <xf numFmtId="0" fontId="6" fillId="3" borderId="34" xfId="0" applyFont="1" applyFill="1" applyBorder="1" applyAlignment="1">
      <alignment horizontal="center" vertical="center" wrapText="1"/>
    </xf>
    <xf numFmtId="4" fontId="6" fillId="3" borderId="12" xfId="0" applyNumberFormat="1" applyFont="1" applyFill="1" applyBorder="1"/>
    <xf numFmtId="0" fontId="6" fillId="3" borderId="23" xfId="0" applyFont="1" applyFill="1" applyBorder="1" applyAlignment="1">
      <alignment horizontal="center" vertical="center" wrapText="1"/>
    </xf>
    <xf numFmtId="4" fontId="6" fillId="3" borderId="9" xfId="0" applyNumberFormat="1" applyFont="1" applyFill="1" applyBorder="1"/>
    <xf numFmtId="4" fontId="8" fillId="3" borderId="9" xfId="0" applyNumberFormat="1" applyFont="1" applyFill="1" applyBorder="1"/>
    <xf numFmtId="0" fontId="9" fillId="3" borderId="23" xfId="0" applyFont="1" applyFill="1" applyBorder="1" applyAlignment="1">
      <alignment horizontal="center" vertical="center" wrapText="1"/>
    </xf>
    <xf numFmtId="2" fontId="28" fillId="3" borderId="0" xfId="0" applyNumberFormat="1" applyFont="1" applyFill="1"/>
    <xf numFmtId="4" fontId="7" fillId="3" borderId="0" xfId="0" applyNumberFormat="1" applyFont="1" applyFill="1" applyAlignment="1">
      <alignment horizontal="center" vertical="center" wrapText="1"/>
    </xf>
    <xf numFmtId="4" fontId="7" fillId="3" borderId="0" xfId="0" applyNumberFormat="1" applyFont="1" applyFill="1" applyBorder="1"/>
    <xf numFmtId="4" fontId="8" fillId="3" borderId="0" xfId="0" applyNumberFormat="1" applyFont="1" applyFill="1" applyBorder="1"/>
    <xf numFmtId="4" fontId="8" fillId="3" borderId="0" xfId="0" applyNumberFormat="1" applyFont="1" applyFill="1" applyBorder="1" applyAlignment="1">
      <alignment horizontal="center"/>
    </xf>
    <xf numFmtId="3" fontId="7" fillId="3" borderId="8" xfId="0" applyNumberFormat="1" applyFont="1" applyFill="1" applyBorder="1"/>
    <xf numFmtId="4" fontId="8" fillId="3" borderId="8" xfId="0" applyNumberFormat="1" applyFont="1" applyFill="1" applyBorder="1" applyAlignment="1">
      <alignment horizontal="center" vertical="center" wrapText="1"/>
    </xf>
    <xf numFmtId="166" fontId="7" fillId="3" borderId="0" xfId="0" applyNumberFormat="1" applyFont="1" applyFill="1" applyAlignment="1">
      <alignment horizontal="center"/>
    </xf>
    <xf numFmtId="0" fontId="6" fillId="3" borderId="8" xfId="0" applyFont="1" applyFill="1" applyBorder="1"/>
    <xf numFmtId="0" fontId="28" fillId="3" borderId="0" xfId="0" applyFont="1" applyFill="1" applyAlignment="1">
      <alignment horizontal="center"/>
    </xf>
    <xf numFmtId="0" fontId="40" fillId="3" borderId="0" xfId="0" applyFont="1" applyFill="1"/>
    <xf numFmtId="49" fontId="7" fillId="3" borderId="0" xfId="0" applyNumberFormat="1" applyFont="1" applyFill="1" applyAlignment="1">
      <alignment horizontal="right" vertical="center" wrapText="1"/>
    </xf>
    <xf numFmtId="0" fontId="7" fillId="3" borderId="0" xfId="0" applyFont="1" applyFill="1" applyAlignment="1">
      <alignment horizontal="center"/>
    </xf>
    <xf numFmtId="0" fontId="8" fillId="3" borderId="0" xfId="0" applyFont="1" applyFill="1" applyAlignment="1">
      <alignment horizontal="center"/>
    </xf>
    <xf numFmtId="4" fontId="8" fillId="3" borderId="35" xfId="0" applyNumberFormat="1" applyFont="1" applyFill="1" applyBorder="1" applyAlignment="1">
      <alignment horizontal="center"/>
    </xf>
    <xf numFmtId="4" fontId="39" fillId="3" borderId="8" xfId="0" applyNumberFormat="1" applyFont="1" applyFill="1" applyBorder="1"/>
    <xf numFmtId="0" fontId="9" fillId="3" borderId="0" xfId="0" applyFont="1" applyFill="1" applyBorder="1" applyAlignment="1">
      <alignment horizontal="right" vertical="center" wrapText="1"/>
    </xf>
    <xf numFmtId="4" fontId="8" fillId="3" borderId="8" xfId="0" applyNumberFormat="1" applyFont="1" applyFill="1" applyBorder="1" applyAlignment="1">
      <alignment horizontal="center"/>
    </xf>
    <xf numFmtId="4" fontId="28" fillId="3" borderId="8" xfId="0" applyNumberFormat="1" applyFont="1" applyFill="1" applyBorder="1" applyAlignment="1">
      <alignment wrapText="1"/>
    </xf>
    <xf numFmtId="0" fontId="12" fillId="3" borderId="0" xfId="0" applyFont="1" applyFill="1"/>
    <xf numFmtId="0" fontId="8" fillId="3" borderId="8" xfId="0" applyFont="1" applyFill="1" applyBorder="1"/>
    <xf numFmtId="169" fontId="9" fillId="3" borderId="0" xfId="0" applyNumberFormat="1" applyFont="1" applyFill="1" applyBorder="1" applyAlignment="1">
      <alignment horizontal="right" vertical="center" wrapText="1"/>
    </xf>
    <xf numFmtId="0" fontId="9" fillId="3" borderId="8" xfId="0" applyFont="1" applyFill="1" applyBorder="1"/>
    <xf numFmtId="4" fontId="6" fillId="3" borderId="0" xfId="0" applyNumberFormat="1" applyFont="1" applyFill="1" applyBorder="1" applyAlignment="1">
      <alignment horizontal="right" vertical="center" wrapText="1"/>
    </xf>
    <xf numFmtId="4" fontId="7" fillId="3" borderId="0" xfId="0" applyNumberFormat="1" applyFont="1" applyFill="1" applyBorder="1" applyAlignment="1">
      <alignment horizontal="center"/>
    </xf>
    <xf numFmtId="4" fontId="8" fillId="3" borderId="35" xfId="0" applyNumberFormat="1" applyFont="1" applyFill="1" applyBorder="1"/>
    <xf numFmtId="0" fontId="7" fillId="3" borderId="0" xfId="0" applyFont="1" applyFill="1"/>
    <xf numFmtId="166" fontId="7" fillId="3" borderId="8" xfId="0" applyNumberFormat="1" applyFont="1" applyFill="1" applyBorder="1"/>
    <xf numFmtId="166" fontId="7" fillId="3" borderId="5" xfId="0" applyNumberFormat="1" applyFont="1" applyFill="1" applyBorder="1"/>
    <xf numFmtId="166" fontId="7" fillId="3" borderId="5" xfId="0" applyNumberFormat="1" applyFont="1" applyFill="1" applyBorder="1" applyAlignment="1">
      <alignment horizontal="center"/>
    </xf>
    <xf numFmtId="166" fontId="7" fillId="3" borderId="35" xfId="0" applyNumberFormat="1" applyFont="1" applyFill="1" applyBorder="1" applyAlignment="1">
      <alignment horizontal="center"/>
    </xf>
    <xf numFmtId="49" fontId="8" fillId="3" borderId="0" xfId="0" applyNumberFormat="1" applyFont="1" applyFill="1" applyAlignment="1">
      <alignment horizontal="left" vertical="center" wrapText="1"/>
    </xf>
    <xf numFmtId="49" fontId="6" fillId="3" borderId="0" xfId="0" applyNumberFormat="1" applyFont="1" applyFill="1" applyAlignment="1">
      <alignment wrapText="1"/>
    </xf>
    <xf numFmtId="4" fontId="39" fillId="3" borderId="0" xfId="0" applyNumberFormat="1" applyFont="1" applyFill="1"/>
    <xf numFmtId="4" fontId="12" fillId="3" borderId="0" xfId="0" applyNumberFormat="1" applyFont="1" applyFill="1"/>
    <xf numFmtId="0" fontId="12" fillId="6" borderId="7" xfId="0" applyFont="1" applyFill="1" applyBorder="1" applyAlignment="1">
      <alignment horizontal="center" vertical="center"/>
    </xf>
    <xf numFmtId="0" fontId="9" fillId="0" borderId="0" xfId="0" applyFont="1" applyBorder="1" applyAlignment="1">
      <alignment horizontal="left"/>
    </xf>
    <xf numFmtId="3" fontId="43" fillId="3" borderId="16" xfId="0" applyNumberFormat="1" applyFont="1" applyFill="1" applyBorder="1" applyAlignment="1">
      <alignment horizontal="center" vertical="center" wrapText="1"/>
    </xf>
    <xf numFmtId="49" fontId="39" fillId="0" borderId="14" xfId="0" applyNumberFormat="1" applyFont="1" applyBorder="1" applyAlignment="1">
      <alignment horizontal="center" vertical="center" wrapText="1"/>
    </xf>
    <xf numFmtId="0" fontId="43" fillId="3" borderId="19" xfId="0" applyFont="1" applyFill="1" applyBorder="1" applyAlignment="1">
      <alignment horizontal="center" vertical="center"/>
    </xf>
    <xf numFmtId="0" fontId="43" fillId="3" borderId="20" xfId="0" applyFont="1" applyFill="1" applyBorder="1" applyAlignment="1">
      <alignment horizontal="center" vertical="center"/>
    </xf>
    <xf numFmtId="3" fontId="43" fillId="3" borderId="20" xfId="0" applyNumberFormat="1" applyFont="1" applyFill="1" applyBorder="1" applyAlignment="1">
      <alignment horizontal="center" vertical="center"/>
    </xf>
    <xf numFmtId="1" fontId="43" fillId="3" borderId="20" xfId="0" applyNumberFormat="1" applyFont="1" applyFill="1" applyBorder="1" applyAlignment="1">
      <alignment horizontal="center" vertical="center"/>
    </xf>
    <xf numFmtId="3" fontId="43" fillId="3" borderId="38" xfId="0" applyNumberFormat="1" applyFont="1" applyFill="1" applyBorder="1" applyAlignment="1">
      <alignment horizontal="center" vertical="center"/>
    </xf>
    <xf numFmtId="1" fontId="39" fillId="0" borderId="21" xfId="0" applyNumberFormat="1" applyFont="1" applyBorder="1" applyAlignment="1">
      <alignment horizontal="center" vertical="center" wrapText="1"/>
    </xf>
    <xf numFmtId="0" fontId="9" fillId="3" borderId="0" xfId="0" applyFont="1" applyFill="1" applyBorder="1" applyAlignment="1">
      <alignment horizontal="center"/>
    </xf>
    <xf numFmtId="0" fontId="15" fillId="3" borderId="0" xfId="0" applyFont="1" applyFill="1" applyAlignment="1">
      <alignment horizontal="center" vertical="center" wrapText="1"/>
    </xf>
    <xf numFmtId="3" fontId="8" fillId="6" borderId="0" xfId="15" applyNumberFormat="1" applyFont="1" applyFill="1" applyBorder="1" applyAlignment="1" applyProtection="1">
      <alignment horizontal="center" vertical="center"/>
    </xf>
    <xf numFmtId="3" fontId="8" fillId="3" borderId="0" xfId="15" applyNumberFormat="1" applyFont="1" applyFill="1" applyBorder="1" applyAlignment="1" applyProtection="1">
      <alignment horizontal="center" vertical="center"/>
    </xf>
    <xf numFmtId="3" fontId="20" fillId="3" borderId="0" xfId="15" applyNumberFormat="1" applyFont="1" applyFill="1" applyBorder="1" applyAlignment="1" applyProtection="1">
      <alignment horizontal="right" vertical="center"/>
    </xf>
    <xf numFmtId="3" fontId="20" fillId="3" borderId="0" xfId="0" applyNumberFormat="1" applyFont="1" applyFill="1" applyBorder="1" applyAlignment="1">
      <alignment horizontal="right" vertical="center"/>
    </xf>
    <xf numFmtId="0" fontId="20" fillId="3" borderId="0" xfId="15" applyFont="1" applyFill="1" applyBorder="1" applyAlignment="1" applyProtection="1">
      <alignment horizontal="center" vertical="center" wrapText="1"/>
    </xf>
    <xf numFmtId="0" fontId="20" fillId="3" borderId="0" xfId="5" applyFont="1" applyFill="1" applyBorder="1" applyAlignment="1">
      <alignment vertical="center" wrapText="1"/>
    </xf>
    <xf numFmtId="0" fontId="15" fillId="6" borderId="0" xfId="0" applyFont="1" applyFill="1" applyAlignment="1">
      <alignment horizontal="center" vertical="center" wrapText="1"/>
    </xf>
    <xf numFmtId="3" fontId="8" fillId="3" borderId="8" xfId="15" applyNumberFormat="1" applyFont="1" applyFill="1" applyBorder="1" applyAlignment="1" applyProtection="1">
      <alignment horizontal="center" vertical="center"/>
    </xf>
    <xf numFmtId="4" fontId="6" fillId="3" borderId="8" xfId="0" applyNumberFormat="1" applyFont="1" applyFill="1" applyBorder="1" applyAlignment="1">
      <alignment horizontal="center" vertical="center"/>
    </xf>
    <xf numFmtId="4" fontId="7" fillId="3" borderId="8" xfId="0" applyNumberFormat="1" applyFont="1" applyFill="1" applyBorder="1" applyAlignment="1">
      <alignment horizontal="center" vertical="center"/>
    </xf>
    <xf numFmtId="3" fontId="45" fillId="0" borderId="0" xfId="0" applyNumberFormat="1" applyFont="1" applyBorder="1" applyAlignment="1">
      <alignment horizontal="right" vertical="center"/>
    </xf>
    <xf numFmtId="0" fontId="45" fillId="6" borderId="0" xfId="0" applyFont="1" applyFill="1" applyBorder="1" applyAlignment="1">
      <alignment horizontal="center" vertical="center" wrapText="1"/>
    </xf>
    <xf numFmtId="0" fontId="46" fillId="0" borderId="0" xfId="0" applyFont="1" applyBorder="1" applyAlignment="1">
      <alignment horizontal="left" vertical="center" wrapText="1"/>
    </xf>
    <xf numFmtId="0" fontId="22" fillId="0" borderId="0" xfId="0" applyFont="1" applyAlignment="1">
      <alignment horizontal="center" vertical="center"/>
    </xf>
    <xf numFmtId="4" fontId="6" fillId="3" borderId="0" xfId="0" applyNumberFormat="1" applyFont="1" applyFill="1" applyBorder="1" applyAlignment="1">
      <alignment horizontal="center" vertical="center"/>
    </xf>
    <xf numFmtId="4" fontId="7" fillId="3" borderId="0" xfId="0" applyNumberFormat="1" applyFont="1" applyFill="1" applyBorder="1" applyAlignment="1">
      <alignment horizontal="center" vertical="center"/>
    </xf>
    <xf numFmtId="0" fontId="8" fillId="3" borderId="8" xfId="15" applyFont="1" applyFill="1" applyBorder="1" applyAlignment="1" applyProtection="1">
      <alignment horizontal="center" vertical="center"/>
    </xf>
    <xf numFmtId="3" fontId="8" fillId="3" borderId="8" xfId="15" applyNumberFormat="1" applyFont="1" applyFill="1" applyBorder="1" applyAlignment="1" applyProtection="1">
      <alignment horizontal="center" vertical="center" wrapText="1"/>
    </xf>
    <xf numFmtId="0" fontId="8" fillId="3" borderId="0" xfId="15" applyFont="1" applyFill="1" applyBorder="1" applyAlignment="1" applyProtection="1">
      <alignment horizontal="center" vertical="center"/>
    </xf>
    <xf numFmtId="3" fontId="8" fillId="3" borderId="0" xfId="15" applyNumberFormat="1" applyFont="1" applyFill="1" applyBorder="1" applyAlignment="1" applyProtection="1">
      <alignment horizontal="center" vertical="center" wrapText="1"/>
    </xf>
    <xf numFmtId="0" fontId="8" fillId="6" borderId="0" xfId="15" applyFont="1" applyFill="1" applyBorder="1" applyAlignment="1" applyProtection="1">
      <alignment horizontal="center" vertical="center"/>
    </xf>
    <xf numFmtId="3" fontId="8" fillId="6" borderId="0" xfId="15" applyNumberFormat="1" applyFont="1" applyFill="1" applyBorder="1" applyAlignment="1" applyProtection="1">
      <alignment horizontal="center" vertical="center" wrapText="1"/>
    </xf>
    <xf numFmtId="0" fontId="6" fillId="6" borderId="0" xfId="0" applyFont="1" applyFill="1" applyBorder="1" applyAlignment="1">
      <alignment horizontal="center" vertical="center"/>
    </xf>
    <xf numFmtId="0" fontId="9" fillId="3" borderId="8" xfId="0" applyFont="1" applyFill="1" applyBorder="1" applyAlignment="1">
      <alignment horizontal="center"/>
    </xf>
    <xf numFmtId="0" fontId="8" fillId="3" borderId="41" xfId="0" applyFont="1" applyFill="1" applyBorder="1"/>
    <xf numFmtId="0" fontId="18" fillId="0" borderId="15" xfId="5" applyFont="1" applyBorder="1" applyAlignment="1">
      <alignment horizontal="left"/>
    </xf>
    <xf numFmtId="0" fontId="48" fillId="0" borderId="0" xfId="5" applyFont="1" applyAlignment="1">
      <alignment horizontal="left"/>
    </xf>
    <xf numFmtId="0" fontId="18" fillId="0" borderId="0" xfId="5" applyFont="1" applyAlignment="1">
      <alignment horizontal="left"/>
    </xf>
    <xf numFmtId="3" fontId="18" fillId="3" borderId="0" xfId="5" applyNumberFormat="1" applyFont="1" applyFill="1" applyAlignment="1">
      <alignment horizontal="center"/>
    </xf>
    <xf numFmtId="4" fontId="18" fillId="0" borderId="0" xfId="5" applyNumberFormat="1" applyFont="1" applyAlignment="1">
      <alignment horizontal="left"/>
    </xf>
    <xf numFmtId="0" fontId="31" fillId="3" borderId="0" xfId="5" applyFont="1" applyFill="1"/>
    <xf numFmtId="0" fontId="18" fillId="0" borderId="0" xfId="5" applyFont="1" applyBorder="1" applyAlignment="1">
      <alignment horizontal="left" vertical="center" wrapText="1"/>
    </xf>
    <xf numFmtId="3" fontId="18" fillId="3" borderId="0" xfId="5" applyNumberFormat="1" applyFont="1" applyFill="1" applyBorder="1" applyAlignment="1">
      <alignment horizontal="center" vertical="center" wrapText="1"/>
    </xf>
    <xf numFmtId="3" fontId="18" fillId="0" borderId="0" xfId="5" applyNumberFormat="1" applyFont="1" applyBorder="1" applyAlignment="1">
      <alignment horizontal="center" vertical="center" wrapText="1"/>
    </xf>
    <xf numFmtId="4" fontId="18" fillId="0" borderId="0" xfId="5" applyNumberFormat="1" applyFont="1" applyBorder="1" applyAlignment="1">
      <alignment horizontal="left" vertical="center" wrapText="1"/>
    </xf>
    <xf numFmtId="0" fontId="18" fillId="0" borderId="0" xfId="0" applyFont="1" applyBorder="1" applyAlignment="1">
      <alignment horizontal="center" vertical="center"/>
    </xf>
    <xf numFmtId="0" fontId="48" fillId="0" borderId="0" xfId="0" applyFont="1" applyBorder="1" applyAlignment="1">
      <alignment horizontal="left" vertical="center" wrapText="1"/>
    </xf>
    <xf numFmtId="0" fontId="48" fillId="0" borderId="0" xfId="0" applyFont="1" applyBorder="1" applyAlignment="1">
      <alignment horizontal="center" vertical="center" wrapText="1"/>
    </xf>
    <xf numFmtId="0" fontId="48" fillId="0" borderId="0" xfId="16" applyFont="1" applyBorder="1" applyAlignment="1" applyProtection="1">
      <alignment horizontal="center" vertical="center"/>
    </xf>
    <xf numFmtId="0" fontId="48" fillId="0" borderId="0" xfId="16" applyFont="1" applyBorder="1" applyAlignment="1" applyProtection="1">
      <alignment horizontal="center" vertical="center" wrapText="1"/>
    </xf>
    <xf numFmtId="3" fontId="18" fillId="3" borderId="0" xfId="0" applyNumberFormat="1" applyFont="1" applyFill="1" applyBorder="1" applyAlignment="1">
      <alignment horizontal="center" vertical="center" wrapText="1"/>
    </xf>
    <xf numFmtId="3" fontId="18" fillId="0" borderId="0" xfId="0" applyNumberFormat="1" applyFont="1" applyBorder="1" applyAlignment="1">
      <alignment horizontal="center" vertical="center" wrapText="1"/>
    </xf>
    <xf numFmtId="3" fontId="18" fillId="0" borderId="0" xfId="0" applyNumberFormat="1" applyFont="1" applyBorder="1" applyAlignment="1">
      <alignment horizontal="right" vertical="center"/>
    </xf>
    <xf numFmtId="0" fontId="48" fillId="0" borderId="0" xfId="0" applyFont="1" applyBorder="1" applyAlignment="1">
      <alignment horizontal="right" vertical="center" wrapText="1"/>
    </xf>
    <xf numFmtId="3" fontId="48" fillId="0" borderId="0" xfId="0" applyNumberFormat="1" applyFont="1" applyBorder="1" applyAlignment="1">
      <alignment horizontal="right" vertical="center" wrapText="1"/>
    </xf>
    <xf numFmtId="3" fontId="20" fillId="3" borderId="0" xfId="0" applyNumberFormat="1" applyFont="1" applyFill="1" applyBorder="1" applyAlignment="1">
      <alignment horizontal="right" vertical="center" wrapText="1"/>
    </xf>
    <xf numFmtId="0" fontId="7" fillId="3" borderId="0" xfId="0" applyFont="1" applyFill="1" applyBorder="1" applyAlignment="1">
      <alignment horizontal="left" vertical="center" wrapText="1"/>
    </xf>
    <xf numFmtId="3" fontId="6" fillId="3" borderId="0" xfId="0" applyNumberFormat="1" applyFont="1" applyFill="1" applyBorder="1" applyAlignment="1">
      <alignment vertical="center" wrapText="1"/>
    </xf>
    <xf numFmtId="0" fontId="6" fillId="3" borderId="0" xfId="9" applyFont="1" applyFill="1" applyBorder="1" applyAlignment="1"/>
    <xf numFmtId="0" fontId="7" fillId="3" borderId="0" xfId="0" applyFont="1" applyFill="1" applyBorder="1" applyAlignment="1">
      <alignment vertical="center" wrapText="1"/>
    </xf>
    <xf numFmtId="0" fontId="18" fillId="0" borderId="0" xfId="0" applyFont="1" applyAlignment="1">
      <alignment horizontal="left" vertical="center" wrapText="1"/>
    </xf>
    <xf numFmtId="4" fontId="20" fillId="3" borderId="0" xfId="0" applyNumberFormat="1"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vertical="center" wrapText="1"/>
    </xf>
    <xf numFmtId="3" fontId="6" fillId="3" borderId="0" xfId="0" applyNumberFormat="1" applyFont="1" applyFill="1" applyAlignment="1">
      <alignment vertical="center" wrapText="1"/>
    </xf>
    <xf numFmtId="0" fontId="6" fillId="3" borderId="0" xfId="0" applyFont="1" applyFill="1" applyAlignment="1">
      <alignment vertical="center"/>
    </xf>
    <xf numFmtId="4" fontId="18" fillId="0" borderId="0" xfId="0" applyNumberFormat="1" applyFont="1" applyAlignment="1">
      <alignment horizontal="left" vertical="center" wrapText="1"/>
    </xf>
    <xf numFmtId="3" fontId="18" fillId="0" borderId="0" xfId="0" applyNumberFormat="1" applyFont="1" applyAlignment="1">
      <alignment horizontal="left" vertical="center" wrapText="1"/>
    </xf>
    <xf numFmtId="4" fontId="6" fillId="3" borderId="0" xfId="0" applyNumberFormat="1" applyFont="1" applyFill="1" applyAlignment="1">
      <alignment horizontal="left" vertical="center" wrapText="1"/>
    </xf>
    <xf numFmtId="4" fontId="6" fillId="3" borderId="0" xfId="0" applyNumberFormat="1" applyFont="1" applyFill="1" applyAlignment="1">
      <alignment vertical="center" wrapText="1"/>
    </xf>
    <xf numFmtId="3" fontId="6" fillId="3" borderId="0" xfId="9" applyNumberFormat="1" applyFont="1" applyFill="1" applyAlignment="1"/>
    <xf numFmtId="3" fontId="48" fillId="3" borderId="0" xfId="0" applyNumberFormat="1" applyFont="1" applyFill="1" applyBorder="1" applyAlignment="1">
      <alignment horizontal="center" vertical="center" wrapText="1"/>
    </xf>
    <xf numFmtId="3" fontId="48" fillId="0" borderId="0" xfId="0" applyNumberFormat="1" applyFont="1" applyBorder="1" applyAlignment="1">
      <alignment horizontal="left" vertical="center" wrapText="1"/>
    </xf>
    <xf numFmtId="0" fontId="7" fillId="3" borderId="0" xfId="0" applyFont="1" applyFill="1" applyAlignment="1">
      <alignment horizontal="left" vertical="center" wrapText="1"/>
    </xf>
    <xf numFmtId="0" fontId="7" fillId="3" borderId="0" xfId="0" applyFont="1" applyFill="1" applyAlignment="1">
      <alignment vertical="center" wrapText="1"/>
    </xf>
    <xf numFmtId="0" fontId="18" fillId="0" borderId="0" xfId="0" applyFont="1" applyBorder="1" applyAlignment="1">
      <alignment horizontal="left" vertical="top"/>
    </xf>
    <xf numFmtId="0" fontId="48" fillId="0" borderId="0" xfId="0" applyFont="1" applyBorder="1" applyAlignment="1">
      <alignment horizontal="center" vertical="top"/>
    </xf>
    <xf numFmtId="3" fontId="18" fillId="3" borderId="0" xfId="0" applyNumberFormat="1" applyFont="1" applyFill="1" applyBorder="1" applyAlignment="1">
      <alignment horizontal="center" vertical="top"/>
    </xf>
    <xf numFmtId="0" fontId="18" fillId="0" borderId="0" xfId="0" applyFont="1" applyBorder="1" applyAlignment="1">
      <alignment vertical="top"/>
    </xf>
    <xf numFmtId="3" fontId="36" fillId="3" borderId="0" xfId="0" applyNumberFormat="1" applyFont="1" applyFill="1" applyAlignment="1">
      <alignment horizontal="left" vertical="center" wrapText="1"/>
    </xf>
    <xf numFmtId="0" fontId="36" fillId="3" borderId="0" xfId="0" applyFont="1" applyFill="1" applyAlignment="1">
      <alignment vertical="center" wrapText="1"/>
    </xf>
    <xf numFmtId="3" fontId="7" fillId="3" borderId="0" xfId="0" applyNumberFormat="1" applyFont="1" applyFill="1" applyAlignment="1">
      <alignment vertical="center" wrapText="1"/>
    </xf>
    <xf numFmtId="0" fontId="7" fillId="3" borderId="0" xfId="9" applyFont="1" applyFill="1" applyAlignment="1">
      <alignment vertical="center" wrapText="1"/>
    </xf>
    <xf numFmtId="0" fontId="48" fillId="0" borderId="0" xfId="0" applyFont="1" applyBorder="1" applyAlignment="1">
      <alignment vertical="center" wrapText="1"/>
    </xf>
    <xf numFmtId="3" fontId="48" fillId="3" borderId="0" xfId="0" applyNumberFormat="1" applyFont="1" applyFill="1" applyBorder="1" applyAlignment="1">
      <alignment horizontal="center"/>
    </xf>
    <xf numFmtId="0" fontId="18" fillId="0" borderId="0" xfId="0" applyFont="1" applyBorder="1" applyAlignment="1">
      <alignment vertical="center"/>
    </xf>
    <xf numFmtId="0" fontId="36" fillId="0" borderId="0" xfId="9" applyFont="1" applyAlignment="1">
      <alignment horizontal="center" vertical="center" wrapText="1"/>
    </xf>
    <xf numFmtId="0" fontId="6" fillId="3" borderId="0" xfId="10" applyFont="1" applyFill="1" applyAlignment="1"/>
    <xf numFmtId="3" fontId="37" fillId="3" borderId="0" xfId="10" applyNumberFormat="1" applyFont="1" applyFill="1" applyAlignment="1">
      <alignment horizontal="left"/>
    </xf>
    <xf numFmtId="3" fontId="37" fillId="3" borderId="0" xfId="10" applyNumberFormat="1" applyFont="1" applyFill="1" applyAlignment="1">
      <alignment horizontal="center"/>
    </xf>
    <xf numFmtId="0" fontId="37" fillId="3" borderId="0" xfId="10" applyFont="1" applyFill="1" applyAlignment="1">
      <alignment wrapText="1"/>
    </xf>
    <xf numFmtId="0" fontId="18" fillId="0" borderId="0" xfId="0" applyFont="1" applyBorder="1" applyAlignment="1">
      <alignment wrapText="1"/>
    </xf>
    <xf numFmtId="3" fontId="37" fillId="3" borderId="0" xfId="12" applyNumberFormat="1" applyFont="1" applyFill="1" applyAlignment="1">
      <alignment horizontal="center" vertical="center"/>
    </xf>
    <xf numFmtId="0" fontId="37" fillId="3" borderId="0" xfId="12" applyFont="1" applyFill="1" applyAlignment="1">
      <alignment vertical="center" wrapText="1"/>
    </xf>
    <xf numFmtId="0" fontId="6" fillId="3" borderId="0" xfId="12" applyFont="1" applyFill="1" applyAlignment="1">
      <alignment vertical="center"/>
    </xf>
    <xf numFmtId="3" fontId="18" fillId="3" borderId="0" xfId="16" applyNumberFormat="1" applyFont="1" applyFill="1" applyBorder="1" applyAlignment="1" applyProtection="1">
      <alignment horizontal="center"/>
    </xf>
    <xf numFmtId="3" fontId="6" fillId="3" borderId="0" xfId="0" applyNumberFormat="1" applyFont="1" applyFill="1" applyAlignment="1">
      <alignment vertical="center"/>
    </xf>
    <xf numFmtId="3" fontId="36" fillId="3" borderId="0" xfId="9" applyNumberFormat="1" applyFont="1" applyFill="1" applyAlignment="1">
      <alignment vertical="center" wrapText="1"/>
    </xf>
    <xf numFmtId="3" fontId="36" fillId="3" borderId="0" xfId="9" applyNumberFormat="1" applyFont="1" applyFill="1" applyAlignment="1">
      <alignment horizontal="center" vertical="center" wrapText="1"/>
    </xf>
    <xf numFmtId="0" fontId="48" fillId="0" borderId="0" xfId="9" applyFont="1" applyBorder="1" applyAlignment="1">
      <alignment horizontal="center"/>
    </xf>
    <xf numFmtId="3" fontId="48" fillId="3" borderId="0" xfId="9" applyNumberFormat="1" applyFont="1" applyFill="1" applyBorder="1" applyAlignment="1">
      <alignment horizontal="center" vertical="center" wrapText="1"/>
    </xf>
    <xf numFmtId="3" fontId="48" fillId="0" borderId="0" xfId="9" applyNumberFormat="1" applyFont="1" applyBorder="1" applyAlignment="1">
      <alignment vertical="center" wrapText="1"/>
    </xf>
    <xf numFmtId="3" fontId="18" fillId="0" borderId="0" xfId="10" applyNumberFormat="1" applyFont="1" applyBorder="1" applyAlignment="1">
      <alignment horizontal="left"/>
    </xf>
    <xf numFmtId="3" fontId="37" fillId="3" borderId="0" xfId="0" applyNumberFormat="1" applyFont="1" applyFill="1" applyAlignment="1">
      <alignment horizontal="right" vertical="center"/>
    </xf>
    <xf numFmtId="3" fontId="37" fillId="3" borderId="0" xfId="0" applyNumberFormat="1" applyFont="1" applyFill="1" applyAlignment="1">
      <alignment horizontal="center" vertical="center"/>
    </xf>
    <xf numFmtId="0" fontId="37" fillId="3" borderId="0" xfId="0" applyFont="1" applyFill="1" applyAlignment="1">
      <alignment vertical="center" wrapText="1"/>
    </xf>
    <xf numFmtId="3" fontId="7" fillId="3" borderId="0" xfId="9" applyNumberFormat="1" applyFont="1" applyFill="1" applyAlignment="1">
      <alignment vertical="center" wrapText="1"/>
    </xf>
    <xf numFmtId="0" fontId="18" fillId="0" borderId="0" xfId="5" applyFont="1" applyBorder="1" applyAlignment="1">
      <alignment horizontal="left" vertical="top" wrapText="1"/>
    </xf>
    <xf numFmtId="0" fontId="0" fillId="0" borderId="0" xfId="0" applyAlignment="1">
      <alignment vertical="top" wrapText="1"/>
    </xf>
    <xf numFmtId="4" fontId="7" fillId="3" borderId="0" xfId="0" applyNumberFormat="1" applyFont="1" applyFill="1"/>
    <xf numFmtId="0" fontId="12" fillId="0" borderId="7" xfId="0" applyFont="1" applyBorder="1" applyAlignment="1">
      <alignment horizontal="center" vertical="center"/>
    </xf>
    <xf numFmtId="4" fontId="6" fillId="0" borderId="8" xfId="17" applyNumberFormat="1" applyFont="1" applyBorder="1" applyAlignment="1">
      <alignment horizontal="center" vertical="center" wrapText="1"/>
    </xf>
    <xf numFmtId="3" fontId="6" fillId="0" borderId="8" xfId="0" applyNumberFormat="1" applyFont="1" applyBorder="1" applyAlignment="1" applyProtection="1">
      <alignment horizontal="center" vertical="center"/>
      <protection locked="0"/>
    </xf>
    <xf numFmtId="49" fontId="18" fillId="0" borderId="6" xfId="0" applyNumberFormat="1" applyFont="1" applyBorder="1" applyAlignment="1">
      <alignment horizontal="left" vertical="center" wrapText="1"/>
    </xf>
    <xf numFmtId="2" fontId="6" fillId="0" borderId="8" xfId="15" applyNumberFormat="1" applyFont="1" applyBorder="1" applyAlignment="1" applyProtection="1">
      <alignment horizontal="left" vertical="center" wrapText="1"/>
    </xf>
    <xf numFmtId="2" fontId="6" fillId="0" borderId="8" xfId="15" applyNumberFormat="1" applyFont="1" applyBorder="1" applyAlignment="1" applyProtection="1">
      <alignment horizontal="center" vertical="center" wrapText="1"/>
    </xf>
    <xf numFmtId="1" fontId="6" fillId="0" borderId="8" xfId="15" applyNumberFormat="1" applyFont="1" applyBorder="1" applyAlignment="1" applyProtection="1">
      <alignment horizontal="center" vertical="center" wrapText="1"/>
    </xf>
    <xf numFmtId="4" fontId="6" fillId="0" borderId="8" xfId="0" applyNumberFormat="1" applyFont="1" applyBorder="1" applyAlignment="1">
      <alignment horizontal="center" vertical="center" wrapText="1"/>
    </xf>
    <xf numFmtId="168" fontId="8" fillId="0" borderId="6" xfId="0" applyNumberFormat="1" applyFont="1" applyBorder="1" applyAlignment="1">
      <alignment horizontal="left" vertical="center" wrapText="1"/>
    </xf>
    <xf numFmtId="0" fontId="6" fillId="0" borderId="8" xfId="20" applyFont="1" applyBorder="1" applyAlignment="1">
      <alignment horizontal="center" vertical="center" wrapText="1"/>
    </xf>
    <xf numFmtId="3" fontId="6" fillId="0" borderId="5" xfId="1" applyNumberFormat="1" applyFont="1" applyBorder="1" applyAlignment="1" applyProtection="1">
      <alignment horizontal="center" vertical="center" wrapText="1"/>
    </xf>
    <xf numFmtId="49" fontId="6" fillId="0" borderId="8" xfId="0" applyNumberFormat="1" applyFont="1" applyBorder="1" applyAlignment="1">
      <alignment horizontal="left" vertical="center" wrapText="1"/>
    </xf>
    <xf numFmtId="1" fontId="6" fillId="0" borderId="8" xfId="0" applyNumberFormat="1" applyFont="1" applyBorder="1" applyAlignment="1">
      <alignment horizontal="center" vertical="center"/>
    </xf>
    <xf numFmtId="3" fontId="6" fillId="0" borderId="8" xfId="1" applyNumberFormat="1" applyFont="1" applyBorder="1" applyAlignment="1" applyProtection="1">
      <alignment horizontal="center" vertical="center" wrapText="1"/>
    </xf>
    <xf numFmtId="0" fontId="8" fillId="0" borderId="6" xfId="5" applyFont="1" applyBorder="1" applyAlignment="1">
      <alignment vertical="center" wrapText="1"/>
    </xf>
    <xf numFmtId="49" fontId="8" fillId="3" borderId="12" xfId="18" applyNumberFormat="1" applyFont="1" applyFill="1" applyBorder="1" applyAlignment="1">
      <alignment horizontal="left" vertical="center" wrapText="1"/>
    </xf>
    <xf numFmtId="49" fontId="6" fillId="3" borderId="8"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1" fontId="12" fillId="3" borderId="12" xfId="0" applyNumberFormat="1" applyFont="1" applyFill="1" applyBorder="1" applyAlignment="1">
      <alignment horizontal="center" vertical="center" wrapText="1"/>
    </xf>
    <xf numFmtId="4" fontId="6" fillId="3" borderId="12" xfId="0" applyNumberFormat="1" applyFont="1" applyFill="1" applyBorder="1" applyAlignment="1">
      <alignment horizontal="center" vertical="center"/>
    </xf>
    <xf numFmtId="166" fontId="6" fillId="3" borderId="0" xfId="2" applyNumberFormat="1" applyFont="1" applyFill="1" applyBorder="1" applyAlignment="1" applyProtection="1">
      <alignment horizontal="center" vertical="center"/>
    </xf>
    <xf numFmtId="166" fontId="6" fillId="3" borderId="12"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wrapText="1"/>
    </xf>
    <xf numFmtId="3" fontId="6" fillId="3" borderId="16" xfId="0" applyNumberFormat="1" applyFont="1" applyFill="1" applyBorder="1" applyAlignment="1">
      <alignment horizontal="center" vertical="center" wrapText="1"/>
    </xf>
    <xf numFmtId="49" fontId="8" fillId="3" borderId="6" xfId="0" applyNumberFormat="1" applyFont="1" applyFill="1" applyBorder="1" applyAlignment="1">
      <alignment horizontal="left" vertical="center" wrapText="1"/>
    </xf>
    <xf numFmtId="2" fontId="6" fillId="3" borderId="8" xfId="15" applyNumberFormat="1" applyFont="1" applyFill="1" applyBorder="1" applyAlignment="1" applyProtection="1">
      <alignment horizontal="left" vertical="center" wrapText="1"/>
    </xf>
    <xf numFmtId="2" fontId="6" fillId="3" borderId="8" xfId="0" applyNumberFormat="1" applyFont="1" applyFill="1" applyBorder="1" applyAlignment="1">
      <alignment horizontal="center" vertical="center" wrapText="1"/>
    </xf>
    <xf numFmtId="1" fontId="6" fillId="3" borderId="8" xfId="15" applyNumberFormat="1" applyFont="1" applyFill="1" applyBorder="1" applyAlignment="1" applyProtection="1">
      <alignment horizontal="center" vertical="center" wrapText="1"/>
    </xf>
    <xf numFmtId="4" fontId="6" fillId="3" borderId="8" xfId="17" applyNumberFormat="1" applyFont="1" applyFill="1" applyBorder="1" applyAlignment="1">
      <alignment horizontal="center" vertical="center" wrapText="1"/>
    </xf>
    <xf numFmtId="166" fontId="6" fillId="3" borderId="8" xfId="2" applyNumberFormat="1" applyFont="1" applyFill="1" applyBorder="1" applyAlignment="1" applyProtection="1">
      <alignment horizontal="center" vertical="center"/>
    </xf>
    <xf numFmtId="166" fontId="6" fillId="3" borderId="8" xfId="0" applyNumberFormat="1" applyFont="1" applyFill="1" applyBorder="1" applyAlignment="1">
      <alignment horizontal="center" vertical="center"/>
    </xf>
    <xf numFmtId="3" fontId="6" fillId="3" borderId="5" xfId="0" applyNumberFormat="1" applyFont="1" applyFill="1" applyBorder="1" applyAlignment="1">
      <alignment horizontal="center" vertical="center" wrapText="1"/>
    </xf>
    <xf numFmtId="168" fontId="6" fillId="3" borderId="6" xfId="0" applyNumberFormat="1" applyFont="1" applyFill="1" applyBorder="1" applyAlignment="1">
      <alignment horizontal="left" vertical="center" wrapText="1"/>
    </xf>
    <xf numFmtId="49" fontId="6" fillId="3" borderId="8" xfId="18" applyNumberFormat="1" applyFont="1" applyFill="1" applyBorder="1" applyAlignment="1">
      <alignment horizontal="left" vertical="center" wrapText="1"/>
    </xf>
    <xf numFmtId="1" fontId="12" fillId="3" borderId="8" xfId="0" applyNumberFormat="1" applyFont="1" applyFill="1" applyBorder="1" applyAlignment="1">
      <alignment horizontal="center" vertical="center" wrapText="1"/>
    </xf>
    <xf numFmtId="0" fontId="36" fillId="3" borderId="8" xfId="0" applyFont="1" applyFill="1" applyBorder="1" applyAlignment="1">
      <alignment horizontal="center" vertical="center" wrapText="1"/>
    </xf>
    <xf numFmtId="0" fontId="51" fillId="3" borderId="8" xfId="15" applyFont="1" applyFill="1" applyBorder="1" applyAlignment="1" applyProtection="1">
      <alignment horizontal="center" vertical="center" wrapText="1"/>
    </xf>
    <xf numFmtId="0" fontId="51" fillId="3" borderId="8" xfId="0" applyFont="1" applyFill="1" applyBorder="1" applyAlignment="1">
      <alignment horizontal="center" vertical="center" wrapText="1"/>
    </xf>
    <xf numFmtId="1" fontId="52" fillId="3" borderId="8" xfId="0" applyNumberFormat="1" applyFont="1" applyFill="1" applyBorder="1" applyAlignment="1">
      <alignment horizontal="center" vertical="center" wrapText="1"/>
    </xf>
    <xf numFmtId="2" fontId="36" fillId="3" borderId="8" xfId="0" applyNumberFormat="1" applyFont="1" applyFill="1" applyBorder="1" applyAlignment="1">
      <alignment horizontal="center" vertical="center" wrapText="1"/>
    </xf>
    <xf numFmtId="166" fontId="51" fillId="3" borderId="8"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xf>
    <xf numFmtId="3" fontId="36" fillId="3" borderId="8" xfId="22" applyNumberFormat="1" applyFont="1" applyFill="1" applyBorder="1" applyAlignment="1" applyProtection="1">
      <alignment horizontal="center" vertical="center" wrapText="1"/>
    </xf>
    <xf numFmtId="3" fontId="51" fillId="3" borderId="8" xfId="15" applyNumberFormat="1" applyFont="1" applyFill="1" applyBorder="1" applyAlignment="1" applyProtection="1">
      <alignment horizontal="center" vertical="center"/>
    </xf>
    <xf numFmtId="3" fontId="36" fillId="3" borderId="8" xfId="15" applyNumberFormat="1" applyFont="1" applyFill="1" applyBorder="1" applyAlignment="1" applyProtection="1">
      <alignment horizontal="center" vertical="center" wrapText="1"/>
    </xf>
    <xf numFmtId="3" fontId="36" fillId="6" borderId="8" xfId="15" applyNumberFormat="1" applyFont="1" applyFill="1" applyBorder="1" applyAlignment="1" applyProtection="1">
      <alignment horizontal="center" vertical="center"/>
    </xf>
    <xf numFmtId="3" fontId="54" fillId="6" borderId="8" xfId="22" applyNumberFormat="1" applyFont="1" applyFill="1" applyBorder="1" applyAlignment="1" applyProtection="1">
      <alignment horizontal="center" vertical="center" wrapText="1"/>
    </xf>
    <xf numFmtId="49" fontId="36" fillId="6" borderId="8" xfId="5" applyNumberFormat="1" applyFont="1" applyFill="1" applyBorder="1" applyAlignment="1">
      <alignment horizontal="center" vertical="center"/>
    </xf>
    <xf numFmtId="49" fontId="51" fillId="6" borderId="11" xfId="15" applyNumberFormat="1" applyFont="1" applyFill="1" applyBorder="1" applyAlignment="1" applyProtection="1">
      <alignment vertical="center" wrapText="1"/>
    </xf>
    <xf numFmtId="0" fontId="51" fillId="6" borderId="0" xfId="15" applyFont="1" applyFill="1" applyBorder="1" applyProtection="1"/>
    <xf numFmtId="0" fontId="36" fillId="6" borderId="0" xfId="0" applyFont="1" applyFill="1"/>
    <xf numFmtId="4" fontId="6" fillId="0" borderId="5"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49" fontId="8" fillId="0" borderId="8" xfId="0" applyNumberFormat="1" applyFont="1" applyBorder="1" applyAlignment="1">
      <alignment horizontal="center" vertical="center" wrapText="1"/>
    </xf>
    <xf numFmtId="168" fontId="6" fillId="0" borderId="6" xfId="0" applyNumberFormat="1" applyFont="1" applyBorder="1" applyAlignment="1">
      <alignment horizontal="left" vertical="center" wrapText="1"/>
    </xf>
    <xf numFmtId="49" fontId="6" fillId="0" borderId="6" xfId="0" applyNumberFormat="1" applyFont="1" applyBorder="1" applyAlignment="1">
      <alignment horizontal="center" vertical="center" wrapText="1"/>
    </xf>
    <xf numFmtId="49" fontId="6" fillId="0" borderId="6" xfId="0" applyNumberFormat="1" applyFont="1" applyBorder="1" applyAlignment="1">
      <alignment horizontal="left" vertical="center" wrapText="1"/>
    </xf>
    <xf numFmtId="0" fontId="8" fillId="0" borderId="8" xfId="0" applyFont="1" applyBorder="1" applyAlignment="1">
      <alignment horizontal="center" vertical="center" wrapText="1"/>
    </xf>
    <xf numFmtId="166" fontId="6" fillId="0" borderId="8" xfId="15" applyNumberFormat="1" applyFont="1" applyBorder="1" applyAlignment="1" applyProtection="1">
      <alignment horizontal="center" vertical="center"/>
    </xf>
    <xf numFmtId="3" fontId="6" fillId="0" borderId="8" xfId="15" applyNumberFormat="1" applyFont="1" applyBorder="1" applyAlignment="1" applyProtection="1">
      <alignment horizontal="center" vertical="center" wrapText="1"/>
    </xf>
    <xf numFmtId="0" fontId="6" fillId="0" borderId="8" xfId="15" applyFont="1" applyBorder="1" applyAlignment="1" applyProtection="1">
      <alignment horizontal="center" vertical="center" wrapText="1"/>
    </xf>
    <xf numFmtId="166" fontId="6" fillId="0" borderId="8" xfId="2" applyNumberFormat="1" applyFont="1" applyBorder="1" applyAlignment="1" applyProtection="1">
      <alignment horizontal="center" vertical="center" wrapText="1"/>
    </xf>
    <xf numFmtId="1" fontId="6" fillId="0" borderId="8" xfId="13" applyNumberFormat="1" applyFont="1" applyBorder="1" applyAlignment="1">
      <alignment horizontal="center" vertical="center" wrapText="1"/>
    </xf>
    <xf numFmtId="0" fontId="6" fillId="0" borderId="6" xfId="0" applyFont="1" applyBorder="1" applyAlignment="1">
      <alignment horizontal="left" vertical="center" wrapText="1"/>
    </xf>
    <xf numFmtId="0" fontId="6" fillId="0" borderId="8" xfId="20" applyFont="1" applyBorder="1" applyAlignment="1" applyProtection="1">
      <alignment horizontal="center" vertical="center" wrapText="1"/>
      <protection locked="0"/>
    </xf>
    <xf numFmtId="4" fontId="8" fillId="0" borderId="6" xfId="5" applyNumberFormat="1" applyFont="1" applyBorder="1" applyAlignment="1">
      <alignment horizontal="left" vertical="center" wrapText="1"/>
    </xf>
    <xf numFmtId="0" fontId="7" fillId="3" borderId="0" xfId="0" applyFont="1" applyFill="1" applyAlignment="1">
      <alignment horizontal="center" vertical="center"/>
    </xf>
    <xf numFmtId="0" fontId="6" fillId="3" borderId="0" xfId="0" applyFont="1" applyFill="1" applyAlignment="1">
      <alignment horizontal="center" vertical="center"/>
    </xf>
    <xf numFmtId="4" fontId="7" fillId="3" borderId="0" xfId="0" applyNumberFormat="1" applyFont="1" applyFill="1" applyAlignment="1">
      <alignment horizontal="center" vertical="center"/>
    </xf>
    <xf numFmtId="4"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wrapText="1"/>
    </xf>
    <xf numFmtId="4" fontId="7" fillId="3" borderId="0" xfId="0" applyNumberFormat="1" applyFont="1" applyFill="1" applyBorder="1" applyAlignment="1">
      <alignment horizontal="left" vertical="center" wrapText="1"/>
    </xf>
    <xf numFmtId="4" fontId="6" fillId="3" borderId="0" xfId="0" applyNumberFormat="1" applyFont="1" applyFill="1" applyBorder="1" applyAlignment="1">
      <alignment horizontal="left" vertical="center" wrapText="1"/>
    </xf>
    <xf numFmtId="0" fontId="8" fillId="3" borderId="0" xfId="0" applyFont="1" applyFill="1" applyAlignment="1">
      <alignment horizontal="left" vertical="center" wrapText="1"/>
    </xf>
    <xf numFmtId="0" fontId="7" fillId="3" borderId="42" xfId="0" applyFont="1" applyFill="1" applyBorder="1" applyAlignment="1">
      <alignment horizontal="center"/>
    </xf>
    <xf numFmtId="4" fontId="7" fillId="3" borderId="40" xfId="0" applyNumberFormat="1" applyFont="1" applyFill="1" applyBorder="1" applyAlignment="1">
      <alignment horizontal="center" vertical="center"/>
    </xf>
    <xf numFmtId="4" fontId="7" fillId="3" borderId="43" xfId="0" applyNumberFormat="1" applyFont="1" applyFill="1" applyBorder="1" applyAlignment="1">
      <alignment horizontal="center" vertical="center"/>
    </xf>
    <xf numFmtId="49" fontId="8" fillId="3" borderId="8" xfId="0" applyNumberFormat="1" applyFont="1" applyFill="1" applyBorder="1" applyAlignment="1">
      <alignment horizontal="right" vertical="center"/>
    </xf>
    <xf numFmtId="1" fontId="8" fillId="3" borderId="8" xfId="0" applyNumberFormat="1" applyFont="1" applyFill="1" applyBorder="1"/>
    <xf numFmtId="1" fontId="8" fillId="3" borderId="0" xfId="0" applyNumberFormat="1" applyFont="1" applyFill="1" applyBorder="1"/>
    <xf numFmtId="4" fontId="7" fillId="3" borderId="11" xfId="0" applyNumberFormat="1" applyFont="1" applyFill="1" applyBorder="1"/>
    <xf numFmtId="4" fontId="7" fillId="3" borderId="8" xfId="0" applyNumberFormat="1" applyFont="1" applyFill="1" applyBorder="1"/>
    <xf numFmtId="0" fontId="7" fillId="0" borderId="0" xfId="0" applyFont="1" applyAlignment="1">
      <alignment vertical="center"/>
    </xf>
    <xf numFmtId="0" fontId="7" fillId="0" borderId="0" xfId="0" applyFont="1" applyAlignment="1">
      <alignment horizontal="center" vertical="center"/>
    </xf>
    <xf numFmtId="3" fontId="6" fillId="0" borderId="0" xfId="0" applyNumberFormat="1" applyFont="1" applyAlignment="1">
      <alignment horizontal="right" vertical="center"/>
    </xf>
    <xf numFmtId="3" fontId="7" fillId="0" borderId="0" xfId="0" applyNumberFormat="1" applyFont="1" applyAlignment="1">
      <alignment vertical="center"/>
    </xf>
    <xf numFmtId="3" fontId="7" fillId="0" borderId="0" xfId="0" applyNumberFormat="1" applyFont="1" applyAlignment="1">
      <alignment horizontal="right" vertical="center"/>
    </xf>
    <xf numFmtId="0" fontId="48" fillId="0" borderId="0" xfId="0" applyFont="1" applyAlignment="1">
      <alignment vertical="center"/>
    </xf>
    <xf numFmtId="0" fontId="48" fillId="0" borderId="0" xfId="0" applyFont="1" applyAlignment="1">
      <alignment horizontal="left" vertical="center"/>
    </xf>
    <xf numFmtId="3" fontId="48" fillId="0" borderId="0" xfId="0" applyNumberFormat="1" applyFont="1" applyAlignment="1">
      <alignment horizontal="left" vertical="center"/>
    </xf>
    <xf numFmtId="0" fontId="23" fillId="0" borderId="0" xfId="0" applyFont="1" applyAlignment="1">
      <alignment horizontal="center" vertical="center"/>
    </xf>
    <xf numFmtId="0" fontId="18" fillId="0" borderId="0" xfId="0" applyFont="1" applyBorder="1" applyAlignment="1">
      <alignment horizontal="left" vertical="center"/>
    </xf>
    <xf numFmtId="0" fontId="48" fillId="0" borderId="0" xfId="0" applyFont="1" applyAlignment="1">
      <alignment horizontal="right" vertical="center"/>
    </xf>
    <xf numFmtId="0" fontId="48" fillId="0" borderId="0" xfId="0" applyFont="1" applyAlignment="1">
      <alignment horizontal="center" vertical="center"/>
    </xf>
    <xf numFmtId="0" fontId="18" fillId="0" borderId="0" xfId="0" applyFont="1" applyAlignment="1">
      <alignment vertical="center"/>
    </xf>
    <xf numFmtId="0" fontId="48" fillId="0" borderId="8" xfId="0" applyFont="1" applyBorder="1" applyAlignment="1">
      <alignment horizontal="center" vertical="center" wrapText="1"/>
    </xf>
    <xf numFmtId="3" fontId="48" fillId="0" borderId="8" xfId="0" applyNumberFormat="1" applyFont="1" applyBorder="1" applyAlignment="1">
      <alignment horizontal="center" vertical="center" wrapText="1"/>
    </xf>
    <xf numFmtId="0" fontId="55" fillId="0" borderId="0" xfId="0" applyFont="1" applyAlignment="1">
      <alignment horizontal="center" vertical="center" wrapText="1"/>
    </xf>
    <xf numFmtId="0" fontId="48" fillId="0" borderId="12" xfId="0" applyFont="1" applyBorder="1" applyAlignment="1">
      <alignment horizontal="center" vertical="center"/>
    </xf>
    <xf numFmtId="0" fontId="48" fillId="0" borderId="12" xfId="0" applyFont="1" applyBorder="1" applyAlignment="1">
      <alignment vertical="center"/>
    </xf>
    <xf numFmtId="3" fontId="48" fillId="0" borderId="12" xfId="0" applyNumberFormat="1" applyFont="1" applyBorder="1" applyAlignment="1">
      <alignment horizontal="center" vertical="center"/>
    </xf>
    <xf numFmtId="0" fontId="55" fillId="0" borderId="0" xfId="0" applyFont="1" applyAlignment="1">
      <alignment horizontal="center" vertical="center"/>
    </xf>
    <xf numFmtId="0" fontId="51" fillId="0" borderId="0" xfId="15" applyFont="1" applyBorder="1" applyAlignment="1" applyProtection="1">
      <alignment vertical="center"/>
    </xf>
    <xf numFmtId="0" fontId="51" fillId="6" borderId="0" xfId="15" applyFont="1" applyFill="1" applyBorder="1" applyAlignment="1" applyProtection="1">
      <alignment vertical="center"/>
    </xf>
    <xf numFmtId="0" fontId="36" fillId="6" borderId="0" xfId="0" applyFont="1" applyFill="1" applyAlignment="1">
      <alignment vertical="center"/>
    </xf>
    <xf numFmtId="3" fontId="44" fillId="0" borderId="0" xfId="0" applyNumberFormat="1" applyFont="1" applyBorder="1" applyAlignment="1">
      <alignment horizontal="center" vertical="center" wrapText="1"/>
    </xf>
    <xf numFmtId="0" fontId="23" fillId="6" borderId="0" xfId="0" applyFont="1" applyFill="1" applyAlignment="1">
      <alignment horizontal="center" vertical="center"/>
    </xf>
    <xf numFmtId="0" fontId="6" fillId="6" borderId="0" xfId="0" applyFont="1" applyFill="1" applyAlignment="1">
      <alignment vertical="center"/>
    </xf>
    <xf numFmtId="0" fontId="6" fillId="0" borderId="11" xfId="0" applyFont="1" applyBorder="1" applyAlignment="1">
      <alignment horizontal="center" vertical="center"/>
    </xf>
    <xf numFmtId="0" fontId="4" fillId="0" borderId="0" xfId="0" applyFont="1" applyAlignment="1">
      <alignment vertical="center"/>
    </xf>
    <xf numFmtId="0" fontId="4" fillId="6" borderId="0" xfId="0" applyFont="1" applyFill="1" applyAlignment="1">
      <alignment vertical="center"/>
    </xf>
    <xf numFmtId="0" fontId="6" fillId="8" borderId="0" xfId="0" applyFont="1" applyFill="1" applyBorder="1" applyAlignment="1">
      <alignment horizontal="center" vertical="center"/>
    </xf>
    <xf numFmtId="0" fontId="28" fillId="0" borderId="44" xfId="0" applyFont="1" applyBorder="1" applyAlignment="1">
      <alignment horizontal="center" vertical="center"/>
    </xf>
    <xf numFmtId="0" fontId="39" fillId="0" borderId="39" xfId="13" applyFont="1" applyBorder="1" applyAlignment="1">
      <alignment horizontal="center" vertical="center" wrapText="1"/>
    </xf>
    <xf numFmtId="0" fontId="39" fillId="0" borderId="39" xfId="0" applyFont="1" applyBorder="1" applyAlignment="1">
      <alignment horizontal="center" vertical="center" wrapText="1"/>
    </xf>
    <xf numFmtId="0" fontId="39" fillId="0" borderId="39" xfId="0" applyFont="1" applyBorder="1" applyAlignment="1">
      <alignment horizontal="center" vertical="center"/>
    </xf>
    <xf numFmtId="0" fontId="39" fillId="0" borderId="39" xfId="11" applyFont="1" applyBorder="1" applyAlignment="1">
      <alignment horizontal="center" vertical="center"/>
    </xf>
    <xf numFmtId="166" fontId="28" fillId="0" borderId="39" xfId="2" applyNumberFormat="1" applyFont="1" applyBorder="1" applyAlignment="1" applyProtection="1">
      <alignment horizontal="center" vertical="center"/>
    </xf>
    <xf numFmtId="166" fontId="28" fillId="0" borderId="39" xfId="0" applyNumberFormat="1" applyFont="1" applyBorder="1" applyAlignment="1">
      <alignment horizontal="right" vertical="center"/>
    </xf>
    <xf numFmtId="3" fontId="39" fillId="0" borderId="39" xfId="0" applyNumberFormat="1" applyFont="1" applyBorder="1" applyAlignment="1">
      <alignment horizontal="center" vertical="center"/>
    </xf>
    <xf numFmtId="0" fontId="28" fillId="0" borderId="39" xfId="12" applyFont="1" applyBorder="1" applyAlignment="1">
      <alignment horizontal="center" vertical="center"/>
    </xf>
    <xf numFmtId="168" fontId="28" fillId="0" borderId="45" xfId="0" applyNumberFormat="1" applyFont="1" applyBorder="1" applyAlignment="1">
      <alignment horizontal="center" vertical="center" wrapText="1"/>
    </xf>
    <xf numFmtId="0" fontId="7" fillId="0" borderId="0" xfId="13"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11" applyFont="1" applyBorder="1" applyAlignment="1">
      <alignment horizontal="center" vertical="center"/>
    </xf>
    <xf numFmtId="166" fontId="6" fillId="0" borderId="0" xfId="2" applyNumberFormat="1" applyFont="1" applyBorder="1" applyAlignment="1" applyProtection="1">
      <alignment horizontal="center" vertical="center"/>
    </xf>
    <xf numFmtId="166" fontId="6" fillId="0" borderId="0" xfId="0" applyNumberFormat="1" applyFont="1" applyBorder="1" applyAlignment="1">
      <alignment horizontal="right" vertical="center"/>
    </xf>
    <xf numFmtId="3" fontId="6" fillId="0" borderId="0" xfId="0" applyNumberFormat="1" applyFont="1" applyBorder="1" applyAlignment="1">
      <alignment horizontal="right" vertical="center"/>
    </xf>
    <xf numFmtId="3" fontId="7" fillId="0" borderId="0" xfId="0" applyNumberFormat="1" applyFont="1" applyBorder="1" applyAlignment="1">
      <alignment horizontal="right" vertical="center"/>
    </xf>
    <xf numFmtId="0" fontId="6" fillId="0" borderId="0" xfId="12" applyFont="1" applyBorder="1" applyAlignment="1">
      <alignment horizontal="center" vertical="center"/>
    </xf>
    <xf numFmtId="168" fontId="6" fillId="0" borderId="0" xfId="0" applyNumberFormat="1" applyFont="1" applyBorder="1" applyAlignment="1">
      <alignment horizontal="center" vertical="center" wrapText="1"/>
    </xf>
    <xf numFmtId="0" fontId="57" fillId="0" borderId="0" xfId="13" applyFont="1" applyBorder="1" applyAlignment="1">
      <alignment vertical="center" wrapText="1"/>
    </xf>
    <xf numFmtId="0" fontId="9" fillId="0" borderId="0" xfId="13" applyFont="1" applyBorder="1" applyAlignment="1">
      <alignment vertical="center" wrapText="1"/>
    </xf>
    <xf numFmtId="0" fontId="8" fillId="0" borderId="0" xfId="0" applyFont="1" applyAlignment="1">
      <alignment horizontal="left" vertical="center" wrapText="1"/>
    </xf>
    <xf numFmtId="3" fontId="8" fillId="0" borderId="0" xfId="0" applyNumberFormat="1" applyFont="1" applyAlignment="1">
      <alignment horizontal="left" vertical="center" wrapText="1"/>
    </xf>
    <xf numFmtId="0" fontId="7" fillId="0" borderId="0" xfId="0" applyFont="1" applyAlignment="1">
      <alignment horizontal="center" vertical="center" wrapText="1"/>
    </xf>
    <xf numFmtId="3" fontId="36" fillId="0" borderId="0" xfId="9" applyNumberFormat="1" applyFont="1" applyBorder="1" applyAlignment="1">
      <alignment horizontal="center"/>
    </xf>
    <xf numFmtId="0" fontId="36" fillId="0" borderId="0" xfId="0" applyFont="1" applyAlignment="1">
      <alignment horizontal="left" vertical="center" wrapText="1"/>
    </xf>
    <xf numFmtId="0" fontId="6" fillId="0" borderId="0" xfId="9" applyFont="1"/>
    <xf numFmtId="0" fontId="7" fillId="0" borderId="0" xfId="9" applyFont="1" applyBorder="1" applyAlignment="1">
      <alignment wrapText="1"/>
    </xf>
    <xf numFmtId="3" fontId="7" fillId="0" borderId="0" xfId="9" applyNumberFormat="1" applyFont="1" applyBorder="1" applyAlignment="1">
      <alignment horizontal="center"/>
    </xf>
    <xf numFmtId="0" fontId="6" fillId="0" borderId="0" xfId="9" applyFont="1" applyBorder="1"/>
    <xf numFmtId="3" fontId="6" fillId="0" borderId="0" xfId="9" applyNumberFormat="1" applyFont="1"/>
    <xf numFmtId="0" fontId="7" fillId="0" borderId="0" xfId="9" applyFont="1" applyAlignment="1">
      <alignment wrapText="1"/>
    </xf>
    <xf numFmtId="0" fontId="7" fillId="0" borderId="0" xfId="9" applyFont="1" applyAlignment="1">
      <alignment horizontal="center"/>
    </xf>
    <xf numFmtId="3" fontId="36" fillId="0" borderId="0" xfId="10" applyNumberFormat="1" applyFont="1" applyAlignment="1">
      <alignment horizontal="left"/>
    </xf>
    <xf numFmtId="0" fontId="37" fillId="0" borderId="0" xfId="10" applyFont="1" applyAlignment="1">
      <alignment horizontal="left"/>
    </xf>
    <xf numFmtId="0" fontId="37" fillId="0" borderId="0" xfId="12" applyFont="1" applyAlignment="1">
      <alignment horizontal="center" vertical="center"/>
    </xf>
    <xf numFmtId="0" fontId="44" fillId="9" borderId="0" xfId="0" applyFont="1" applyFill="1" applyBorder="1" applyAlignment="1">
      <alignment horizontal="left" vertical="top" wrapText="1"/>
    </xf>
    <xf numFmtId="0" fontId="44" fillId="9" borderId="0" xfId="0" applyFont="1" applyFill="1" applyBorder="1" applyAlignment="1">
      <alignment horizontal="center" vertical="center" wrapText="1"/>
    </xf>
    <xf numFmtId="49" fontId="44" fillId="9" borderId="0" xfId="0" applyNumberFormat="1" applyFont="1" applyFill="1" applyBorder="1" applyAlignment="1">
      <alignment horizontal="center" vertical="center" wrapText="1"/>
    </xf>
    <xf numFmtId="3" fontId="44" fillId="9" borderId="0" xfId="17" applyNumberFormat="1" applyFont="1" applyFill="1" applyBorder="1" applyAlignment="1">
      <alignment horizontal="center" vertical="center" wrapText="1"/>
    </xf>
    <xf numFmtId="166" fontId="44" fillId="9" borderId="0" xfId="2" applyNumberFormat="1" applyFont="1" applyFill="1" applyBorder="1" applyAlignment="1" applyProtection="1">
      <alignment horizontal="center" vertical="center"/>
    </xf>
    <xf numFmtId="166" fontId="44" fillId="9" borderId="0" xfId="0" applyNumberFormat="1" applyFont="1" applyFill="1" applyBorder="1" applyAlignment="1">
      <alignment horizontal="center" vertical="center"/>
    </xf>
    <xf numFmtId="3" fontId="44" fillId="9" borderId="0" xfId="0" applyNumberFormat="1" applyFont="1" applyFill="1" applyBorder="1" applyAlignment="1">
      <alignment horizontal="center" vertical="center"/>
    </xf>
    <xf numFmtId="0" fontId="6" fillId="9" borderId="0" xfId="0" applyFont="1" applyFill="1" applyAlignment="1">
      <alignment horizontal="center" vertical="center"/>
    </xf>
    <xf numFmtId="0" fontId="7" fillId="9" borderId="0" xfId="9" applyFont="1" applyFill="1" applyAlignment="1">
      <alignment vertical="center" wrapText="1"/>
    </xf>
    <xf numFmtId="0" fontId="7" fillId="9" borderId="0" xfId="9" applyFont="1" applyFill="1" applyAlignment="1">
      <alignment horizontal="center" vertical="center" wrapText="1"/>
    </xf>
    <xf numFmtId="0" fontId="7" fillId="9" borderId="0" xfId="9" applyFont="1" applyFill="1" applyBorder="1" applyAlignment="1">
      <alignment horizontal="center"/>
    </xf>
    <xf numFmtId="0" fontId="7" fillId="9" borderId="0" xfId="9" applyFont="1" applyFill="1" applyAlignment="1">
      <alignment horizontal="center"/>
    </xf>
    <xf numFmtId="3" fontId="6" fillId="9" borderId="0" xfId="0" applyNumberFormat="1" applyFont="1" applyFill="1" applyAlignment="1">
      <alignment horizontal="center" vertical="center"/>
    </xf>
    <xf numFmtId="0" fontId="36" fillId="9" borderId="0" xfId="9" applyFont="1" applyFill="1" applyAlignment="1">
      <alignment horizontal="center" vertical="center" wrapText="1"/>
    </xf>
    <xf numFmtId="3" fontId="36" fillId="9" borderId="0" xfId="9" applyNumberFormat="1" applyFont="1" applyFill="1" applyAlignment="1">
      <alignment vertical="center" wrapText="1"/>
    </xf>
    <xf numFmtId="0" fontId="7" fillId="0" borderId="0" xfId="9" applyFont="1" applyAlignment="1">
      <alignment horizontal="center" vertical="center" wrapText="1"/>
    </xf>
    <xf numFmtId="3" fontId="6" fillId="0" borderId="0" xfId="0" applyNumberFormat="1" applyFont="1" applyAlignment="1">
      <alignment horizontal="center" vertical="center"/>
    </xf>
    <xf numFmtId="0" fontId="37" fillId="0" borderId="0" xfId="0" applyFont="1" applyAlignment="1">
      <alignment horizontal="center" vertical="center"/>
    </xf>
    <xf numFmtId="0" fontId="6" fillId="0" borderId="0" xfId="10" applyFont="1" applyAlignment="1">
      <alignment horizontal="center"/>
    </xf>
    <xf numFmtId="3" fontId="6" fillId="0" borderId="0" xfId="9" applyNumberFormat="1" applyFont="1" applyAlignment="1">
      <alignment horizontal="right"/>
    </xf>
    <xf numFmtId="3" fontId="36" fillId="0" borderId="0" xfId="10" applyNumberFormat="1" applyFont="1"/>
    <xf numFmtId="3" fontId="36" fillId="0" borderId="0" xfId="0" applyNumberFormat="1" applyFont="1" applyAlignment="1">
      <alignment vertical="center"/>
    </xf>
    <xf numFmtId="3" fontId="36" fillId="0" borderId="0" xfId="9" applyNumberFormat="1" applyFont="1" applyAlignment="1">
      <alignment horizontal="center"/>
    </xf>
    <xf numFmtId="0" fontId="59" fillId="10" borderId="8" xfId="0" applyFont="1" applyFill="1" applyBorder="1" applyAlignment="1">
      <alignment horizontal="left" vertical="top" wrapText="1"/>
    </xf>
    <xf numFmtId="0" fontId="59" fillId="10" borderId="8" xfId="0" applyFont="1" applyFill="1" applyBorder="1" applyAlignment="1">
      <alignment horizontal="center" vertical="center" wrapText="1"/>
    </xf>
    <xf numFmtId="0" fontId="59" fillId="10" borderId="8" xfId="0" applyFont="1" applyFill="1" applyBorder="1" applyAlignment="1">
      <alignment horizontal="center" vertical="center"/>
    </xf>
    <xf numFmtId="0" fontId="59" fillId="13" borderId="8" xfId="0" applyFont="1" applyFill="1" applyBorder="1" applyAlignment="1">
      <alignment horizontal="center" vertical="center"/>
    </xf>
    <xf numFmtId="3" fontId="59" fillId="10" borderId="8" xfId="0" applyNumberFormat="1" applyFont="1" applyFill="1" applyBorder="1" applyAlignment="1">
      <alignment horizontal="center" vertical="center"/>
    </xf>
    <xf numFmtId="166" fontId="59" fillId="10" borderId="8" xfId="0" applyNumberFormat="1" applyFont="1" applyFill="1" applyBorder="1" applyAlignment="1">
      <alignment horizontal="center" vertical="center"/>
    </xf>
    <xf numFmtId="3" fontId="59" fillId="10" borderId="8" xfId="0" applyNumberFormat="1" applyFont="1" applyFill="1" applyBorder="1" applyAlignment="1">
      <alignment horizontal="center" vertical="center" wrapText="1"/>
    </xf>
    <xf numFmtId="49" fontId="59" fillId="10" borderId="8" xfId="0" applyNumberFormat="1" applyFont="1" applyFill="1" applyBorder="1" applyAlignment="1">
      <alignment horizontal="center" vertical="center" wrapText="1"/>
    </xf>
    <xf numFmtId="0" fontId="59" fillId="11" borderId="8" xfId="0" applyFont="1" applyFill="1" applyBorder="1" applyAlignment="1">
      <alignment horizontal="center" vertical="center"/>
    </xf>
    <xf numFmtId="49" fontId="59" fillId="12" borderId="8" xfId="0" applyNumberFormat="1" applyFont="1" applyFill="1" applyBorder="1" applyAlignment="1">
      <alignment horizontal="center" vertical="center" wrapText="1"/>
    </xf>
    <xf numFmtId="2" fontId="59" fillId="10" borderId="8" xfId="15" applyNumberFormat="1" applyFont="1" applyFill="1" applyBorder="1" applyAlignment="1" applyProtection="1">
      <alignment horizontal="center" vertical="center" wrapText="1"/>
    </xf>
    <xf numFmtId="1" fontId="59" fillId="13" borderId="8" xfId="15" applyNumberFormat="1" applyFont="1" applyFill="1" applyBorder="1" applyAlignment="1" applyProtection="1">
      <alignment horizontal="center" vertical="center" wrapText="1"/>
    </xf>
    <xf numFmtId="3" fontId="59" fillId="10" borderId="8" xfId="17" applyNumberFormat="1" applyFont="1" applyFill="1" applyBorder="1" applyAlignment="1">
      <alignment horizontal="center" vertical="center" wrapText="1"/>
    </xf>
    <xf numFmtId="166" fontId="59" fillId="16" borderId="8" xfId="0" applyNumberFormat="1" applyFont="1" applyFill="1" applyBorder="1" applyAlignment="1">
      <alignment horizontal="center" vertical="center"/>
    </xf>
    <xf numFmtId="1" fontId="59" fillId="13" borderId="8" xfId="0" applyNumberFormat="1" applyFont="1" applyFill="1" applyBorder="1" applyAlignment="1">
      <alignment horizontal="center" vertical="center" wrapText="1"/>
    </xf>
    <xf numFmtId="166" fontId="59" fillId="10" borderId="8" xfId="0" applyNumberFormat="1" applyFont="1" applyFill="1" applyBorder="1" applyAlignment="1">
      <alignment horizontal="center" vertical="center" wrapText="1"/>
    </xf>
    <xf numFmtId="3" fontId="59" fillId="10" borderId="8" xfId="1" applyNumberFormat="1" applyFont="1" applyFill="1" applyBorder="1" applyAlignment="1" applyProtection="1">
      <alignment horizontal="center" vertical="center" wrapText="1"/>
    </xf>
    <xf numFmtId="166" fontId="59" fillId="10" borderId="8" xfId="2" applyNumberFormat="1" applyFont="1" applyFill="1" applyBorder="1" applyAlignment="1" applyProtection="1">
      <alignment horizontal="center" vertical="center"/>
    </xf>
    <xf numFmtId="0" fontId="59" fillId="12" borderId="8" xfId="0" applyFont="1" applyFill="1" applyBorder="1" applyAlignment="1">
      <alignment horizontal="center" vertical="center" wrapText="1"/>
    </xf>
    <xf numFmtId="49" fontId="59" fillId="10" borderId="8" xfId="0" applyNumberFormat="1" applyFont="1" applyFill="1" applyBorder="1" applyAlignment="1">
      <alignment horizontal="center" vertical="center"/>
    </xf>
    <xf numFmtId="1" fontId="59" fillId="13" borderId="8" xfId="0" applyNumberFormat="1" applyFont="1" applyFill="1" applyBorder="1" applyAlignment="1">
      <alignment horizontal="center" vertical="center"/>
    </xf>
    <xf numFmtId="3" fontId="59" fillId="10" borderId="8" xfId="0" applyNumberFormat="1" applyFont="1" applyFill="1" applyBorder="1" applyAlignment="1" applyProtection="1">
      <alignment horizontal="center" vertical="center"/>
      <protection locked="0"/>
    </xf>
    <xf numFmtId="0" fontId="59" fillId="11" borderId="8" xfId="0" applyFont="1" applyFill="1" applyBorder="1" applyAlignment="1">
      <alignment horizontal="center" vertical="center" wrapText="1"/>
    </xf>
    <xf numFmtId="0" fontId="59" fillId="10" borderId="8" xfId="15" applyFont="1" applyFill="1" applyBorder="1" applyAlignment="1" applyProtection="1">
      <alignment horizontal="center" vertical="center" wrapText="1"/>
    </xf>
    <xf numFmtId="49" fontId="59" fillId="11" borderId="8" xfId="0" applyNumberFormat="1" applyFont="1" applyFill="1" applyBorder="1" applyAlignment="1">
      <alignment horizontal="center" vertical="center"/>
    </xf>
    <xf numFmtId="0" fontId="59" fillId="10" borderId="8" xfId="0" applyFont="1" applyFill="1" applyBorder="1" applyAlignment="1">
      <alignment horizontal="left" vertical="center" wrapText="1"/>
    </xf>
    <xf numFmtId="0" fontId="59" fillId="13" borderId="8" xfId="0" applyFont="1" applyFill="1" applyBorder="1" applyAlignment="1">
      <alignment horizontal="center" vertical="center" wrapText="1"/>
    </xf>
    <xf numFmtId="0" fontId="59" fillId="10" borderId="8" xfId="19" applyFont="1" applyFill="1" applyBorder="1" applyAlignment="1">
      <alignment horizontal="center" vertical="center" wrapText="1"/>
    </xf>
    <xf numFmtId="0" fontId="59" fillId="12" borderId="8" xfId="19" applyFont="1" applyFill="1" applyBorder="1" applyAlignment="1">
      <alignment horizontal="center" vertical="center" wrapText="1"/>
    </xf>
    <xf numFmtId="0" fontId="59" fillId="10" borderId="8" xfId="16" applyFont="1" applyFill="1" applyBorder="1" applyAlignment="1" applyProtection="1">
      <alignment horizontal="center" vertical="center" wrapText="1"/>
    </xf>
    <xf numFmtId="49" fontId="59" fillId="17" borderId="8" xfId="0" applyNumberFormat="1" applyFont="1" applyFill="1" applyBorder="1" applyAlignment="1">
      <alignment horizontal="center" vertical="center"/>
    </xf>
    <xf numFmtId="0" fontId="59" fillId="10" borderId="8" xfId="15" applyFont="1" applyFill="1" applyBorder="1" applyAlignment="1" applyProtection="1">
      <alignment horizontal="left" vertical="center" wrapText="1"/>
    </xf>
    <xf numFmtId="0" fontId="59" fillId="11" borderId="8" xfId="5" applyFont="1" applyFill="1" applyBorder="1" applyAlignment="1">
      <alignment horizontal="center" vertical="center" wrapText="1"/>
    </xf>
    <xf numFmtId="0" fontId="59" fillId="12" borderId="8" xfId="5" applyFont="1" applyFill="1" applyBorder="1" applyAlignment="1">
      <alignment horizontal="center" vertical="center" wrapText="1"/>
    </xf>
    <xf numFmtId="3" fontId="59" fillId="10" borderId="8" xfId="5" applyNumberFormat="1" applyFont="1" applyFill="1" applyBorder="1" applyAlignment="1">
      <alignment horizontal="center" vertical="center"/>
    </xf>
    <xf numFmtId="166" fontId="59" fillId="10" borderId="8" xfId="5" applyNumberFormat="1" applyFont="1" applyFill="1" applyBorder="1" applyAlignment="1">
      <alignment horizontal="center" vertical="center" wrapText="1"/>
    </xf>
    <xf numFmtId="166" fontId="59" fillId="16" borderId="8" xfId="5" applyNumberFormat="1" applyFont="1" applyFill="1" applyBorder="1" applyAlignment="1">
      <alignment horizontal="center" vertical="center" wrapText="1"/>
    </xf>
    <xf numFmtId="3" fontId="59" fillId="10" borderId="8" xfId="0" applyNumberFormat="1" applyFont="1" applyFill="1" applyBorder="1" applyAlignment="1">
      <alignment horizontal="right" vertical="center"/>
    </xf>
    <xf numFmtId="0" fontId="59" fillId="10" borderId="8" xfId="15" applyFont="1" applyFill="1" applyBorder="1" applyAlignment="1" applyProtection="1">
      <alignment horizontal="left" vertical="top" wrapText="1"/>
    </xf>
    <xf numFmtId="166" fontId="59" fillId="14" borderId="8" xfId="0" applyNumberFormat="1" applyFont="1" applyFill="1" applyBorder="1" applyAlignment="1">
      <alignment horizontal="center" vertical="center"/>
    </xf>
    <xf numFmtId="171" fontId="59" fillId="15" borderId="8" xfId="0" applyNumberFormat="1" applyFont="1" applyFill="1" applyBorder="1" applyAlignment="1">
      <alignment horizontal="left" vertical="top" wrapText="1"/>
    </xf>
    <xf numFmtId="168" fontId="59" fillId="10" borderId="8" xfId="0" applyNumberFormat="1" applyFont="1" applyFill="1" applyBorder="1" applyAlignment="1">
      <alignment horizontal="left" vertical="top" wrapText="1"/>
    </xf>
    <xf numFmtId="49" fontId="59" fillId="16" borderId="8" xfId="0" applyNumberFormat="1" applyFont="1" applyFill="1" applyBorder="1" applyAlignment="1">
      <alignment horizontal="center" vertical="center" wrapText="1"/>
    </xf>
    <xf numFmtId="3" fontId="59" fillId="15" borderId="8" xfId="0" applyNumberFormat="1" applyFont="1" applyFill="1" applyBorder="1" applyAlignment="1">
      <alignment horizontal="center" vertical="center" wrapText="1"/>
    </xf>
    <xf numFmtId="4" fontId="59" fillId="10" borderId="8" xfId="0" applyNumberFormat="1" applyFont="1" applyFill="1" applyBorder="1" applyAlignment="1">
      <alignment horizontal="center" vertical="center" wrapText="1"/>
    </xf>
    <xf numFmtId="1" fontId="60" fillId="10" borderId="8" xfId="0" applyNumberFormat="1" applyFont="1" applyFill="1" applyBorder="1" applyAlignment="1">
      <alignment horizontal="left" vertical="center" wrapText="1"/>
    </xf>
    <xf numFmtId="1" fontId="60" fillId="10" borderId="8" xfId="0" applyNumberFormat="1" applyFont="1" applyFill="1" applyBorder="1" applyAlignment="1">
      <alignment horizontal="center" vertical="center" wrapText="1"/>
    </xf>
    <xf numFmtId="3" fontId="59" fillId="14" borderId="8" xfId="0" applyNumberFormat="1" applyFont="1" applyFill="1" applyBorder="1" applyAlignment="1" applyProtection="1">
      <alignment horizontal="center" vertical="center"/>
      <protection locked="0"/>
    </xf>
    <xf numFmtId="2" fontId="59" fillId="10" borderId="8" xfId="15" applyNumberFormat="1" applyFont="1" applyFill="1" applyBorder="1" applyAlignment="1" applyProtection="1">
      <alignment horizontal="left" vertical="center" wrapText="1"/>
    </xf>
    <xf numFmtId="2" fontId="59" fillId="15" borderId="8" xfId="15" applyNumberFormat="1" applyFont="1" applyFill="1" applyBorder="1" applyAlignment="1" applyProtection="1">
      <alignment horizontal="center" vertical="center" wrapText="1"/>
    </xf>
    <xf numFmtId="168" fontId="59" fillId="10" borderId="8" xfId="0" applyNumberFormat="1" applyFont="1" applyFill="1" applyBorder="1" applyAlignment="1">
      <alignment horizontal="left" vertical="center" wrapText="1"/>
    </xf>
    <xf numFmtId="3" fontId="59" fillId="13" borderId="8" xfId="0" applyNumberFormat="1" applyFont="1" applyFill="1" applyBorder="1" applyAlignment="1">
      <alignment horizontal="center" vertical="center" wrapText="1"/>
    </xf>
    <xf numFmtId="3" fontId="60" fillId="10" borderId="8" xfId="0" applyNumberFormat="1" applyFont="1" applyFill="1" applyBorder="1" applyAlignment="1">
      <alignment horizontal="center" vertical="center"/>
    </xf>
    <xf numFmtId="0" fontId="59" fillId="15" borderId="8" xfId="0" applyFont="1" applyFill="1" applyBorder="1" applyAlignment="1">
      <alignment horizontal="center" vertical="center" wrapText="1"/>
    </xf>
    <xf numFmtId="4" fontId="59" fillId="10" borderId="8" xfId="1" applyNumberFormat="1" applyFont="1" applyFill="1" applyBorder="1" applyAlignment="1" applyProtection="1">
      <alignment horizontal="center" vertical="center" wrapText="1"/>
    </xf>
    <xf numFmtId="0" fontId="59" fillId="10" borderId="8" xfId="12" applyFont="1" applyFill="1" applyBorder="1" applyAlignment="1">
      <alignment vertical="center" wrapText="1"/>
    </xf>
    <xf numFmtId="0" fontId="59" fillId="10" borderId="8" xfId="12" applyFont="1" applyFill="1" applyBorder="1" applyAlignment="1">
      <alignment horizontal="center" vertical="center" wrapText="1"/>
    </xf>
    <xf numFmtId="0" fontId="60" fillId="10" borderId="8" xfId="0" applyFont="1" applyFill="1" applyBorder="1" applyAlignment="1">
      <alignment horizontal="center" vertical="center" wrapText="1"/>
    </xf>
    <xf numFmtId="0" fontId="60" fillId="13" borderId="8" xfId="0" applyFont="1" applyFill="1" applyBorder="1" applyAlignment="1">
      <alignment horizontal="center" vertical="center" wrapText="1"/>
    </xf>
    <xf numFmtId="3" fontId="60" fillId="10" borderId="8" xfId="0" applyNumberFormat="1" applyFont="1" applyFill="1" applyBorder="1" applyAlignment="1">
      <alignment horizontal="center" vertical="center" wrapText="1"/>
    </xf>
    <xf numFmtId="172" fontId="60" fillId="10" borderId="8" xfId="1" applyNumberFormat="1" applyFont="1" applyFill="1" applyBorder="1" applyAlignment="1" applyProtection="1">
      <alignment horizontal="center" vertical="center" wrapText="1"/>
    </xf>
    <xf numFmtId="0" fontId="59" fillId="10" borderId="8" xfId="0" applyFont="1" applyFill="1" applyBorder="1" applyAlignment="1" applyProtection="1">
      <alignment horizontal="left" vertical="center" wrapText="1"/>
    </xf>
    <xf numFmtId="0" fontId="59" fillId="11" borderId="8" xfId="5" applyFont="1" applyFill="1" applyBorder="1" applyAlignment="1">
      <alignment horizontal="center" vertical="center"/>
    </xf>
    <xf numFmtId="0" fontId="59" fillId="12" borderId="8" xfId="0" applyFont="1" applyFill="1" applyBorder="1" applyAlignment="1" applyProtection="1">
      <alignment horizontal="center" vertical="center" wrapText="1"/>
    </xf>
    <xf numFmtId="0" fontId="59" fillId="10" borderId="8" xfId="0" applyFont="1" applyFill="1" applyBorder="1" applyAlignment="1" applyProtection="1">
      <alignment horizontal="center" vertical="center"/>
    </xf>
    <xf numFmtId="3" fontId="59" fillId="10" borderId="8" xfId="0" applyNumberFormat="1" applyFont="1" applyFill="1" applyBorder="1" applyAlignment="1" applyProtection="1">
      <alignment horizontal="center" vertical="center"/>
    </xf>
    <xf numFmtId="166" fontId="59" fillId="10" borderId="8" xfId="0" applyNumberFormat="1" applyFont="1" applyFill="1" applyBorder="1" applyAlignment="1" applyProtection="1">
      <alignment horizontal="center" vertical="center"/>
    </xf>
    <xf numFmtId="0" fontId="59" fillId="17" borderId="8" xfId="0" applyFont="1" applyFill="1" applyBorder="1" applyAlignment="1">
      <alignment horizontal="center" vertical="center" wrapText="1"/>
    </xf>
    <xf numFmtId="49" fontId="59" fillId="10" borderId="8" xfId="18" applyNumberFormat="1" applyFont="1" applyFill="1" applyBorder="1" applyAlignment="1">
      <alignment horizontal="left" vertical="center" wrapText="1"/>
    </xf>
    <xf numFmtId="0" fontId="59" fillId="10" borderId="8" xfId="11" applyFont="1" applyFill="1" applyBorder="1" applyAlignment="1">
      <alignment horizontal="center" vertical="center"/>
    </xf>
    <xf numFmtId="49" fontId="59" fillId="10" borderId="8" xfId="0" applyNumberFormat="1" applyFont="1" applyFill="1" applyBorder="1" applyAlignment="1">
      <alignment horizontal="center" vertical="top" wrapText="1"/>
    </xf>
    <xf numFmtId="0" fontId="59" fillId="12" borderId="8" xfId="15" applyFont="1" applyFill="1" applyBorder="1" applyAlignment="1" applyProtection="1">
      <alignment horizontal="center" vertical="center" wrapText="1"/>
    </xf>
    <xf numFmtId="3" fontId="59" fillId="10" borderId="8" xfId="15" applyNumberFormat="1" applyFont="1" applyFill="1" applyBorder="1" applyAlignment="1" applyProtection="1">
      <alignment horizontal="center" vertical="center" wrapText="1"/>
    </xf>
    <xf numFmtId="49" fontId="59" fillId="10" borderId="8" xfId="0" applyNumberFormat="1" applyFont="1" applyFill="1" applyBorder="1" applyAlignment="1">
      <alignment horizontal="left" vertical="top" wrapText="1"/>
    </xf>
    <xf numFmtId="1" fontId="59" fillId="10" borderId="8" xfId="0" applyNumberFormat="1" applyFont="1" applyFill="1" applyBorder="1" applyAlignment="1">
      <alignment horizontal="center" vertical="center"/>
    </xf>
    <xf numFmtId="1" fontId="59" fillId="10" borderId="8" xfId="1" applyNumberFormat="1" applyFont="1" applyFill="1" applyBorder="1" applyAlignment="1" applyProtection="1">
      <alignment horizontal="center" vertical="center" wrapText="1"/>
    </xf>
    <xf numFmtId="173" fontId="59" fillId="10" borderId="8" xfId="1" applyNumberFormat="1" applyFont="1" applyFill="1" applyBorder="1" applyAlignment="1" applyProtection="1">
      <alignment vertical="center"/>
      <protection locked="0"/>
    </xf>
    <xf numFmtId="1" fontId="59" fillId="10" borderId="8" xfId="0" applyNumberFormat="1" applyFont="1" applyFill="1" applyBorder="1" applyAlignment="1">
      <alignment horizontal="center" vertical="center" wrapText="1"/>
    </xf>
    <xf numFmtId="3" fontId="59" fillId="17" borderId="8" xfId="17" applyNumberFormat="1" applyFont="1" applyFill="1" applyBorder="1" applyAlignment="1">
      <alignment horizontal="center" vertical="center" wrapText="1"/>
    </xf>
    <xf numFmtId="49" fontId="59" fillId="12" borderId="8" xfId="0" applyNumberFormat="1" applyFont="1" applyFill="1" applyBorder="1" applyAlignment="1">
      <alignment horizontal="center" vertical="center"/>
    </xf>
    <xf numFmtId="166" fontId="59" fillId="16" borderId="8" xfId="0" applyNumberFormat="1" applyFont="1" applyFill="1" applyBorder="1" applyAlignment="1">
      <alignment horizontal="center" vertical="center" wrapText="1"/>
    </xf>
    <xf numFmtId="49" fontId="59" fillId="10" borderId="8" xfId="0" applyNumberFormat="1" applyFont="1" applyFill="1" applyBorder="1" applyAlignment="1">
      <alignment horizontal="left" vertical="center" wrapText="1"/>
    </xf>
    <xf numFmtId="3" fontId="59" fillId="10" borderId="8" xfId="11" applyNumberFormat="1" applyFont="1" applyFill="1" applyBorder="1" applyAlignment="1">
      <alignment horizontal="center" vertical="center" wrapText="1"/>
    </xf>
    <xf numFmtId="168" fontId="59" fillId="15" borderId="8" xfId="0" applyNumberFormat="1" applyFont="1" applyFill="1" applyBorder="1" applyAlignment="1">
      <alignment horizontal="left" vertical="top" wrapText="1"/>
    </xf>
    <xf numFmtId="0" fontId="59" fillId="10" borderId="8" xfId="11" applyFont="1" applyFill="1" applyBorder="1" applyAlignment="1">
      <alignment horizontal="left" vertical="center" wrapText="1"/>
    </xf>
    <xf numFmtId="0" fontId="59" fillId="17" borderId="8" xfId="0" applyFont="1" applyFill="1" applyBorder="1" applyAlignment="1">
      <alignment horizontal="center" vertical="center"/>
    </xf>
    <xf numFmtId="0" fontId="59" fillId="10" borderId="8" xfId="15" applyFont="1" applyFill="1" applyBorder="1" applyAlignment="1" applyProtection="1">
      <alignment horizontal="center" vertical="center"/>
    </xf>
    <xf numFmtId="0" fontId="59" fillId="13" borderId="8" xfId="15" applyFont="1" applyFill="1" applyBorder="1" applyAlignment="1" applyProtection="1">
      <alignment horizontal="center" vertical="center"/>
    </xf>
    <xf numFmtId="3" fontId="59" fillId="10" borderId="8" xfId="15" applyNumberFormat="1" applyFont="1" applyFill="1" applyBorder="1" applyAlignment="1" applyProtection="1">
      <alignment horizontal="center" vertical="center"/>
    </xf>
    <xf numFmtId="168" fontId="59" fillId="10" borderId="8" xfId="0" applyNumberFormat="1" applyFont="1" applyFill="1" applyBorder="1" applyAlignment="1">
      <alignment horizontal="center" vertical="center" wrapText="1"/>
    </xf>
    <xf numFmtId="0" fontId="59" fillId="10" borderId="8" xfId="19" applyFont="1" applyFill="1" applyBorder="1" applyAlignment="1">
      <alignment horizontal="left" vertical="top" wrapText="1"/>
    </xf>
    <xf numFmtId="169" fontId="59" fillId="10" borderId="8" xfId="0" applyNumberFormat="1" applyFont="1" applyFill="1" applyBorder="1" applyAlignment="1">
      <alignment horizontal="center" vertical="center" wrapText="1"/>
    </xf>
    <xf numFmtId="169" fontId="59" fillId="13" borderId="8" xfId="0" applyNumberFormat="1" applyFont="1" applyFill="1" applyBorder="1" applyAlignment="1">
      <alignment horizontal="center" vertical="center" wrapText="1"/>
    </xf>
    <xf numFmtId="49" fontId="59" fillId="10" borderId="8" xfId="18" applyNumberFormat="1" applyFont="1" applyFill="1" applyBorder="1" applyAlignment="1">
      <alignment horizontal="left" vertical="top" wrapText="1"/>
    </xf>
    <xf numFmtId="166" fontId="59" fillId="10" borderId="8" xfId="2" applyNumberFormat="1" applyFont="1" applyFill="1" applyBorder="1" applyAlignment="1" applyProtection="1">
      <alignment horizontal="center" vertical="center" wrapText="1"/>
    </xf>
    <xf numFmtId="4" fontId="59" fillId="10" borderId="8" xfId="0" applyNumberFormat="1" applyFont="1" applyFill="1" applyBorder="1" applyAlignment="1">
      <alignment horizontal="center" vertical="center"/>
    </xf>
    <xf numFmtId="49" fontId="59" fillId="10" borderId="8" xfId="21" applyNumberFormat="1" applyFont="1" applyFill="1" applyBorder="1" applyAlignment="1">
      <alignment horizontal="left" vertical="center" wrapText="1"/>
    </xf>
    <xf numFmtId="168" fontId="59" fillId="18" borderId="8" xfId="0" applyNumberFormat="1" applyFont="1" applyFill="1" applyBorder="1" applyAlignment="1">
      <alignment horizontal="left" vertical="top" wrapText="1"/>
    </xf>
    <xf numFmtId="1" fontId="6" fillId="10" borderId="0" xfId="0" applyNumberFormat="1" applyFont="1" applyFill="1" applyAlignment="1">
      <alignment horizontal="center"/>
    </xf>
    <xf numFmtId="1" fontId="43" fillId="10" borderId="20" xfId="0" applyNumberFormat="1" applyFont="1" applyFill="1" applyBorder="1" applyAlignment="1">
      <alignment horizontal="center" vertical="center"/>
    </xf>
    <xf numFmtId="0" fontId="18" fillId="18" borderId="0" xfId="5" applyFont="1" applyFill="1" applyAlignment="1">
      <alignment horizontal="left"/>
    </xf>
    <xf numFmtId="0" fontId="18" fillId="18" borderId="0" xfId="5" applyFont="1" applyFill="1" applyBorder="1" applyAlignment="1">
      <alignment horizontal="left" vertical="center" wrapText="1"/>
    </xf>
    <xf numFmtId="166" fontId="18" fillId="10" borderId="0" xfId="0" applyNumberFormat="1" applyFont="1" applyFill="1" applyBorder="1" applyAlignment="1">
      <alignment horizontal="center" vertical="center" wrapText="1"/>
    </xf>
    <xf numFmtId="0" fontId="18" fillId="10" borderId="0" xfId="0" applyFont="1" applyFill="1" applyAlignment="1">
      <alignment horizontal="left" vertical="center" wrapText="1"/>
    </xf>
    <xf numFmtId="0" fontId="48" fillId="10" borderId="0" xfId="0" applyFont="1" applyFill="1" applyBorder="1" applyAlignment="1">
      <alignment horizontal="left" vertical="center" wrapText="1"/>
    </xf>
    <xf numFmtId="0" fontId="18" fillId="10" borderId="0" xfId="0" applyFont="1" applyFill="1" applyBorder="1" applyAlignment="1">
      <alignment vertical="top"/>
    </xf>
    <xf numFmtId="0" fontId="48" fillId="10" borderId="0" xfId="0" applyFont="1" applyFill="1" applyBorder="1" applyAlignment="1">
      <alignment vertical="center" wrapText="1"/>
    </xf>
    <xf numFmtId="0" fontId="18" fillId="10" borderId="0" xfId="0" applyFont="1" applyFill="1" applyBorder="1" applyAlignment="1">
      <alignment wrapText="1"/>
    </xf>
    <xf numFmtId="0" fontId="48" fillId="10" borderId="0" xfId="9" applyFont="1" applyFill="1" applyBorder="1" applyAlignment="1">
      <alignment horizontal="center" vertical="center" wrapText="1"/>
    </xf>
    <xf numFmtId="0" fontId="18" fillId="10" borderId="0" xfId="5" applyFont="1" applyFill="1" applyBorder="1" applyAlignment="1">
      <alignment horizontal="left" vertical="top" wrapText="1"/>
    </xf>
    <xf numFmtId="0" fontId="0" fillId="10" borderId="0" xfId="0" applyFill="1" applyAlignment="1">
      <alignment vertical="top" wrapText="1"/>
    </xf>
    <xf numFmtId="4" fontId="6" fillId="15" borderId="0" xfId="0" applyNumberFormat="1" applyFont="1" applyFill="1" applyBorder="1"/>
    <xf numFmtId="49" fontId="7" fillId="15" borderId="0" xfId="0" applyNumberFormat="1" applyFont="1" applyFill="1" applyBorder="1" applyAlignment="1">
      <alignment horizontal="center" vertical="center" wrapText="1"/>
    </xf>
    <xf numFmtId="1" fontId="6" fillId="15" borderId="8" xfId="0" applyNumberFormat="1" applyFont="1" applyFill="1" applyBorder="1"/>
    <xf numFmtId="1" fontId="6" fillId="15" borderId="0" xfId="0" applyNumberFormat="1" applyFont="1" applyFill="1" applyBorder="1"/>
    <xf numFmtId="0" fontId="8" fillId="15" borderId="0" xfId="0" applyFont="1" applyFill="1" applyBorder="1" applyAlignment="1">
      <alignment horizontal="center"/>
    </xf>
    <xf numFmtId="4" fontId="8" fillId="15" borderId="4" xfId="0" applyNumberFormat="1" applyFont="1" applyFill="1" applyBorder="1" applyAlignment="1">
      <alignment horizontal="center"/>
    </xf>
    <xf numFmtId="4" fontId="8" fillId="15" borderId="0" xfId="0" applyNumberFormat="1" applyFont="1" applyFill="1" applyBorder="1" applyAlignment="1">
      <alignment horizontal="center"/>
    </xf>
    <xf numFmtId="4" fontId="8" fillId="15" borderId="0" xfId="0" applyNumberFormat="1" applyFont="1" applyFill="1" applyBorder="1"/>
    <xf numFmtId="0" fontId="8" fillId="15" borderId="0" xfId="0" applyFont="1" applyFill="1"/>
    <xf numFmtId="0" fontId="8" fillId="15" borderId="0" xfId="0" applyFont="1" applyFill="1" applyAlignment="1">
      <alignment horizontal="center"/>
    </xf>
    <xf numFmtId="4" fontId="8" fillId="15" borderId="8" xfId="0" applyNumberFormat="1" applyFont="1" applyFill="1" applyBorder="1" applyAlignment="1">
      <alignment horizontal="center"/>
    </xf>
    <xf numFmtId="0" fontId="7" fillId="15" borderId="0" xfId="0" applyFont="1" applyFill="1" applyAlignment="1">
      <alignment horizontal="center"/>
    </xf>
    <xf numFmtId="0" fontId="6" fillId="15" borderId="0" xfId="0" applyFont="1" applyFill="1" applyAlignment="1">
      <alignment horizontal="center"/>
    </xf>
    <xf numFmtId="166" fontId="7" fillId="15" borderId="35" xfId="0" applyNumberFormat="1" applyFont="1" applyFill="1" applyBorder="1" applyAlignment="1">
      <alignment horizontal="center"/>
    </xf>
    <xf numFmtId="4" fontId="6" fillId="15" borderId="0" xfId="0" applyNumberFormat="1" applyFont="1" applyFill="1" applyAlignment="1">
      <alignment horizontal="center"/>
    </xf>
    <xf numFmtId="4" fontId="6" fillId="15" borderId="0" xfId="0" applyNumberFormat="1" applyFont="1" applyFill="1"/>
    <xf numFmtId="4" fontId="12" fillId="15" borderId="0" xfId="0" applyNumberFormat="1" applyFont="1" applyFill="1"/>
    <xf numFmtId="0" fontId="6" fillId="10" borderId="0" xfId="0" applyFont="1" applyFill="1" applyAlignment="1">
      <alignment horizontal="center"/>
    </xf>
    <xf numFmtId="3" fontId="8" fillId="6" borderId="11" xfId="15" applyNumberFormat="1" applyFont="1" applyFill="1" applyBorder="1" applyAlignment="1" applyProtection="1">
      <alignment horizontal="center" vertical="center"/>
    </xf>
    <xf numFmtId="3" fontId="8" fillId="3" borderId="11" xfId="15" applyNumberFormat="1" applyFont="1" applyFill="1" applyBorder="1" applyAlignment="1" applyProtection="1">
      <alignment horizontal="center" vertical="center"/>
    </xf>
    <xf numFmtId="0" fontId="59" fillId="10" borderId="36" xfId="0" applyFont="1" applyFill="1" applyBorder="1" applyAlignment="1">
      <alignment horizontal="center" vertical="center"/>
    </xf>
    <xf numFmtId="49" fontId="59" fillId="10" borderId="37" xfId="0" applyNumberFormat="1" applyFont="1" applyFill="1" applyBorder="1" applyAlignment="1">
      <alignment horizontal="left" vertical="top" wrapText="1"/>
    </xf>
    <xf numFmtId="0" fontId="59" fillId="11" borderId="37" xfId="0" applyFont="1" applyFill="1" applyBorder="1" applyAlignment="1">
      <alignment horizontal="center" vertical="center"/>
    </xf>
    <xf numFmtId="49" fontId="59" fillId="12" borderId="37" xfId="0" applyNumberFormat="1" applyFont="1" applyFill="1" applyBorder="1" applyAlignment="1">
      <alignment horizontal="center" vertical="center" wrapText="1"/>
    </xf>
    <xf numFmtId="0" fontId="59" fillId="10" borderId="37" xfId="0" applyFont="1" applyFill="1" applyBorder="1" applyAlignment="1">
      <alignment horizontal="center" vertical="center"/>
    </xf>
    <xf numFmtId="3" fontId="59" fillId="10" borderId="37" xfId="0" applyNumberFormat="1" applyFont="1" applyFill="1" applyBorder="1" applyAlignment="1">
      <alignment horizontal="center" vertical="center"/>
    </xf>
    <xf numFmtId="166" fontId="59" fillId="10" borderId="37" xfId="0" applyNumberFormat="1" applyFont="1" applyFill="1" applyBorder="1" applyAlignment="1">
      <alignment horizontal="center" vertical="center"/>
    </xf>
    <xf numFmtId="166" fontId="59" fillId="14" borderId="37" xfId="0" applyNumberFormat="1" applyFont="1" applyFill="1" applyBorder="1" applyAlignment="1">
      <alignment horizontal="center" vertical="center"/>
    </xf>
    <xf numFmtId="49" fontId="59" fillId="10" borderId="37" xfId="0" applyNumberFormat="1" applyFont="1" applyFill="1" applyBorder="1" applyAlignment="1">
      <alignment horizontal="center" vertical="center" wrapText="1"/>
    </xf>
    <xf numFmtId="3" fontId="59" fillId="10" borderId="37" xfId="0" applyNumberFormat="1" applyFont="1" applyFill="1" applyBorder="1" applyAlignment="1">
      <alignment horizontal="center" vertical="center" wrapText="1"/>
    </xf>
    <xf numFmtId="49" fontId="60" fillId="15" borderId="46" xfId="15" applyNumberFormat="1" applyFont="1" applyFill="1" applyBorder="1" applyAlignment="1" applyProtection="1">
      <alignment vertical="center" wrapText="1"/>
    </xf>
    <xf numFmtId="0" fontId="59" fillId="10" borderId="8" xfId="0" applyFont="1" applyFill="1" applyBorder="1" applyAlignment="1">
      <alignment vertical="top" wrapText="1"/>
    </xf>
    <xf numFmtId="168" fontId="59" fillId="15" borderId="8" xfId="0" applyNumberFormat="1" applyFont="1" applyFill="1" applyBorder="1" applyAlignment="1">
      <alignment horizontal="left" vertical="center" wrapText="1"/>
    </xf>
    <xf numFmtId="168" fontId="59" fillId="16" borderId="8" xfId="0" applyNumberFormat="1" applyFont="1" applyFill="1" applyBorder="1" applyAlignment="1">
      <alignment horizontal="left" vertical="top" wrapText="1"/>
    </xf>
    <xf numFmtId="168" fontId="59" fillId="16" borderId="8" xfId="0" applyNumberFormat="1" applyFont="1" applyFill="1" applyBorder="1" applyAlignment="1">
      <alignment horizontal="left" vertical="center" wrapText="1"/>
    </xf>
    <xf numFmtId="3" fontId="59" fillId="18" borderId="8" xfId="0" applyNumberFormat="1" applyFont="1" applyFill="1" applyBorder="1" applyAlignment="1">
      <alignment horizontal="right" vertical="center"/>
    </xf>
    <xf numFmtId="168" fontId="59" fillId="10" borderId="8" xfId="0" applyNumberFormat="1" applyFont="1" applyFill="1" applyBorder="1" applyAlignment="1">
      <alignment horizontal="center" vertical="top" wrapText="1"/>
    </xf>
    <xf numFmtId="174" fontId="59" fillId="10" borderId="8" xfId="0" applyNumberFormat="1" applyFont="1" applyFill="1" applyBorder="1" applyAlignment="1">
      <alignment wrapText="1"/>
    </xf>
    <xf numFmtId="4" fontId="59" fillId="15" borderId="8" xfId="0" applyNumberFormat="1" applyFont="1" applyFill="1" applyBorder="1" applyAlignment="1">
      <alignment horizontal="center" vertical="center" wrapText="1"/>
    </xf>
    <xf numFmtId="3" fontId="59" fillId="16" borderId="8" xfId="17" applyNumberFormat="1" applyFont="1" applyFill="1" applyBorder="1" applyAlignment="1">
      <alignment horizontal="center" vertical="center" wrapText="1"/>
    </xf>
    <xf numFmtId="49" fontId="7" fillId="15" borderId="0" xfId="0" applyNumberFormat="1" applyFont="1" applyFill="1" applyAlignment="1">
      <alignment horizontal="center" vertical="center" wrapText="1"/>
    </xf>
    <xf numFmtId="0" fontId="9" fillId="15" borderId="0" xfId="0" applyFont="1" applyFill="1" applyAlignment="1">
      <alignment horizontal="center"/>
    </xf>
    <xf numFmtId="0" fontId="7" fillId="15" borderId="0" xfId="0" applyFont="1" applyFill="1" applyBorder="1" applyAlignment="1">
      <alignment horizontal="center"/>
    </xf>
    <xf numFmtId="49" fontId="43" fillId="15" borderId="20" xfId="0" applyNumberFormat="1" applyFont="1" applyFill="1" applyBorder="1" applyAlignment="1">
      <alignment horizontal="center" vertical="center" wrapText="1"/>
    </xf>
    <xf numFmtId="0" fontId="47" fillId="18" borderId="0" xfId="5" applyFont="1" applyFill="1" applyAlignment="1">
      <alignment horizontal="left"/>
    </xf>
    <xf numFmtId="0" fontId="48" fillId="18" borderId="0" xfId="0" applyFont="1" applyFill="1" applyBorder="1" applyAlignment="1">
      <alignment horizontal="left" vertical="center" wrapText="1"/>
    </xf>
    <xf numFmtId="0" fontId="48" fillId="18" borderId="0" xfId="0" applyFont="1" applyFill="1" applyBorder="1" applyAlignment="1">
      <alignment horizontal="center" vertical="center" wrapText="1"/>
    </xf>
    <xf numFmtId="0" fontId="49" fillId="18" borderId="0" xfId="0" applyFont="1" applyFill="1" applyBorder="1" applyAlignment="1">
      <alignment horizontal="left" vertical="center" wrapText="1"/>
    </xf>
    <xf numFmtId="0" fontId="18" fillId="18" borderId="0" xfId="0" applyFont="1" applyFill="1" applyAlignment="1">
      <alignment horizontal="left" vertical="center" wrapText="1"/>
    </xf>
    <xf numFmtId="0" fontId="18" fillId="18" borderId="0" xfId="0" applyFont="1" applyFill="1" applyBorder="1" applyAlignment="1">
      <alignment horizontal="left" vertical="top"/>
    </xf>
    <xf numFmtId="0" fontId="48" fillId="18" borderId="0" xfId="0" applyFont="1" applyFill="1" applyBorder="1" applyAlignment="1">
      <alignment vertical="center" wrapText="1"/>
    </xf>
    <xf numFmtId="0" fontId="18" fillId="18" borderId="0" xfId="0" applyFont="1" applyFill="1" applyBorder="1" applyAlignment="1">
      <alignment vertical="top"/>
    </xf>
    <xf numFmtId="0" fontId="18" fillId="18" borderId="0" xfId="0" applyFont="1" applyFill="1" applyBorder="1" applyAlignment="1">
      <alignment vertical="top" wrapText="1"/>
    </xf>
    <xf numFmtId="0" fontId="18" fillId="18" borderId="0" xfId="0" applyFont="1" applyFill="1" applyAlignment="1">
      <alignment vertical="top"/>
    </xf>
    <xf numFmtId="0" fontId="18" fillId="18" borderId="0" xfId="5" applyFont="1" applyFill="1" applyBorder="1" applyAlignment="1">
      <alignment horizontal="left" vertical="top" wrapText="1"/>
    </xf>
    <xf numFmtId="0" fontId="0" fillId="18" borderId="0" xfId="0" applyFill="1" applyAlignment="1">
      <alignment vertical="top" wrapText="1"/>
    </xf>
    <xf numFmtId="0" fontId="9" fillId="10" borderId="0" xfId="0" applyFont="1" applyFill="1" applyAlignment="1">
      <alignment horizontal="center"/>
    </xf>
    <xf numFmtId="0" fontId="9" fillId="16" borderId="0" xfId="0" applyFont="1" applyFill="1" applyAlignment="1">
      <alignment horizontal="center"/>
    </xf>
    <xf numFmtId="1" fontId="59" fillId="13" borderId="37" xfId="0" applyNumberFormat="1" applyFont="1" applyFill="1" applyBorder="1" applyAlignment="1">
      <alignment horizontal="center" vertical="center"/>
    </xf>
    <xf numFmtId="1" fontId="60" fillId="13" borderId="8" xfId="0" applyNumberFormat="1" applyFont="1" applyFill="1" applyBorder="1" applyAlignment="1" applyProtection="1">
      <alignment horizontal="center" vertical="center"/>
    </xf>
    <xf numFmtId="0" fontId="59" fillId="13" borderId="8" xfId="5" applyFont="1" applyFill="1" applyBorder="1" applyAlignment="1">
      <alignment horizontal="center" vertical="center"/>
    </xf>
    <xf numFmtId="1" fontId="60" fillId="13" borderId="8" xfId="12" applyNumberFormat="1" applyFont="1" applyFill="1" applyBorder="1" applyAlignment="1">
      <alignment horizontal="center" vertical="center" wrapText="1"/>
    </xf>
    <xf numFmtId="1" fontId="59" fillId="13" borderId="8" xfId="12" applyNumberFormat="1" applyFont="1" applyFill="1" applyBorder="1" applyAlignment="1">
      <alignment horizontal="center" vertical="center" wrapText="1"/>
    </xf>
    <xf numFmtId="1" fontId="59" fillId="13" borderId="8" xfId="15" applyNumberFormat="1" applyFont="1" applyFill="1" applyBorder="1" applyAlignment="1" applyProtection="1">
      <alignment horizontal="center" vertical="center"/>
    </xf>
    <xf numFmtId="0" fontId="59" fillId="13" borderId="8" xfId="15" applyFont="1" applyFill="1" applyBorder="1" applyAlignment="1" applyProtection="1">
      <alignment horizontal="center" vertical="center" wrapText="1"/>
    </xf>
    <xf numFmtId="1" fontId="59" fillId="13" borderId="8" xfId="11" applyNumberFormat="1" applyFont="1" applyFill="1" applyBorder="1" applyAlignment="1">
      <alignment horizontal="center" vertical="center" wrapText="1"/>
    </xf>
    <xf numFmtId="1" fontId="59" fillId="13" borderId="8" xfId="11" applyNumberFormat="1" applyFont="1" applyFill="1" applyBorder="1" applyAlignment="1">
      <alignment horizontal="center" vertical="center"/>
    </xf>
    <xf numFmtId="3" fontId="6" fillId="15" borderId="0" xfId="0" applyNumberFormat="1" applyFont="1" applyFill="1" applyAlignment="1">
      <alignment horizontal="center"/>
    </xf>
    <xf numFmtId="1" fontId="43" fillId="15" borderId="20" xfId="0" applyNumberFormat="1" applyFont="1" applyFill="1" applyBorder="1" applyAlignment="1">
      <alignment horizontal="center" vertical="center"/>
    </xf>
    <xf numFmtId="3" fontId="59" fillId="10" borderId="37" xfId="0" applyNumberFormat="1" applyFont="1" applyFill="1" applyBorder="1" applyAlignment="1" applyProtection="1">
      <alignment horizontal="center" vertical="center"/>
      <protection locked="0"/>
    </xf>
    <xf numFmtId="3" fontId="61" fillId="10" borderId="8" xfId="0" applyNumberFormat="1" applyFont="1" applyFill="1" applyBorder="1" applyAlignment="1">
      <alignment horizontal="center" vertical="center"/>
    </xf>
    <xf numFmtId="170" fontId="59" fillId="14" borderId="8" xfId="5" applyNumberFormat="1" applyFont="1" applyFill="1" applyBorder="1" applyAlignment="1">
      <alignment horizontal="center" vertical="center" wrapText="1"/>
    </xf>
    <xf numFmtId="3" fontId="59" fillId="10" borderId="8" xfId="5" applyNumberFormat="1" applyFont="1" applyFill="1" applyBorder="1" applyAlignment="1">
      <alignment horizontal="center" vertical="center" wrapText="1"/>
    </xf>
    <xf numFmtId="3" fontId="59" fillId="14" borderId="8" xfId="0" applyNumberFormat="1" applyFont="1" applyFill="1" applyBorder="1" applyAlignment="1">
      <alignment horizontal="center" vertical="center"/>
    </xf>
    <xf numFmtId="3" fontId="59" fillId="10" borderId="8" xfId="0" applyNumberFormat="1" applyFont="1" applyFill="1" applyBorder="1" applyAlignment="1">
      <alignment horizontal="right" vertical="center" wrapText="1"/>
    </xf>
    <xf numFmtId="3" fontId="59" fillId="10" borderId="8" xfId="0" applyNumberFormat="1" applyFont="1" applyFill="1" applyBorder="1" applyAlignment="1" applyProtection="1">
      <alignment horizontal="center" vertical="center" wrapText="1"/>
    </xf>
    <xf numFmtId="3" fontId="59" fillId="10" borderId="8" xfId="1" applyNumberFormat="1" applyFont="1" applyFill="1" applyBorder="1" applyAlignment="1" applyProtection="1">
      <alignment horizontal="center" vertical="center"/>
    </xf>
    <xf numFmtId="3" fontId="61" fillId="10" borderId="8" xfId="0" applyNumberFormat="1" applyFont="1" applyFill="1" applyBorder="1" applyAlignment="1">
      <alignment horizontal="right" vertical="center"/>
    </xf>
    <xf numFmtId="3" fontId="60" fillId="10" borderId="8" xfId="0" applyNumberFormat="1" applyFont="1" applyFill="1" applyBorder="1" applyAlignment="1" applyProtection="1">
      <alignment horizontal="center" vertical="center"/>
      <protection locked="0"/>
    </xf>
    <xf numFmtId="0" fontId="18" fillId="18" borderId="0" xfId="5" applyFont="1" applyFill="1" applyAlignment="1">
      <alignment horizontal="center"/>
    </xf>
    <xf numFmtId="3" fontId="18" fillId="18" borderId="0" xfId="5" applyNumberFormat="1" applyFont="1" applyFill="1" applyBorder="1" applyAlignment="1">
      <alignment horizontal="center" vertical="center" wrapText="1"/>
    </xf>
    <xf numFmtId="0" fontId="18" fillId="18" borderId="0" xfId="0" applyFont="1" applyFill="1" applyBorder="1" applyAlignment="1">
      <alignment horizontal="center" vertical="center" wrapText="1"/>
    </xf>
    <xf numFmtId="3" fontId="18" fillId="18" borderId="0" xfId="0" applyNumberFormat="1" applyFont="1" applyFill="1" applyBorder="1" applyAlignment="1">
      <alignment horizontal="right" vertical="center" wrapText="1"/>
    </xf>
    <xf numFmtId="0" fontId="18" fillId="18" borderId="0" xfId="0" applyFont="1" applyFill="1" applyBorder="1" applyAlignment="1">
      <alignment vertical="center"/>
    </xf>
    <xf numFmtId="0" fontId="18" fillId="18" borderId="0" xfId="0" applyFont="1" applyFill="1" applyBorder="1" applyAlignment="1">
      <alignment wrapText="1"/>
    </xf>
    <xf numFmtId="0" fontId="48" fillId="18" borderId="0" xfId="9" applyFont="1" applyFill="1" applyBorder="1" applyAlignment="1">
      <alignment vertical="center" wrapText="1"/>
    </xf>
    <xf numFmtId="3" fontId="48" fillId="18" borderId="0" xfId="9" applyNumberFormat="1" applyFont="1" applyFill="1" applyBorder="1" applyAlignment="1">
      <alignment vertical="center" wrapText="1"/>
    </xf>
    <xf numFmtId="3" fontId="48" fillId="18" borderId="0" xfId="10" applyNumberFormat="1" applyFont="1" applyFill="1" applyBorder="1" applyAlignment="1">
      <alignment horizontal="left"/>
    </xf>
    <xf numFmtId="0" fontId="59" fillId="10" borderId="2" xfId="15" applyFont="1" applyFill="1" applyBorder="1" applyAlignment="1" applyProtection="1">
      <alignment horizontal="center" vertical="center"/>
    </xf>
    <xf numFmtId="0" fontId="59" fillId="10" borderId="3" xfId="0" applyFont="1" applyFill="1" applyBorder="1" applyAlignment="1">
      <alignment horizontal="center" vertical="center" wrapText="1"/>
    </xf>
    <xf numFmtId="0" fontId="59" fillId="10" borderId="3" xfId="15" applyFont="1" applyFill="1" applyBorder="1" applyAlignment="1" applyProtection="1">
      <alignment horizontal="center" vertical="center" wrapText="1"/>
    </xf>
    <xf numFmtId="165" fontId="59" fillId="10" borderId="3" xfId="0" applyNumberFormat="1" applyFont="1" applyFill="1" applyBorder="1" applyAlignment="1">
      <alignment horizontal="center" vertical="center" wrapText="1"/>
    </xf>
    <xf numFmtId="166" fontId="59" fillId="10" borderId="3" xfId="0" applyNumberFormat="1" applyFont="1" applyFill="1" applyBorder="1" applyAlignment="1">
      <alignment horizontal="center" vertical="center" wrapText="1"/>
    </xf>
    <xf numFmtId="170" fontId="59" fillId="10" borderId="3" xfId="0" applyNumberFormat="1" applyFont="1" applyFill="1" applyBorder="1" applyAlignment="1">
      <alignment horizontal="center" vertical="center" wrapText="1"/>
    </xf>
    <xf numFmtId="3" fontId="59" fillId="10" borderId="3" xfId="22" applyNumberFormat="1" applyFont="1" applyFill="1" applyBorder="1" applyAlignment="1" applyProtection="1">
      <alignment horizontal="center" vertical="center" wrapText="1"/>
    </xf>
    <xf numFmtId="3" fontId="59" fillId="10" borderId="3" xfId="0" applyNumberFormat="1" applyFont="1" applyFill="1" applyBorder="1" applyAlignment="1">
      <alignment horizontal="center" vertical="center" wrapText="1"/>
    </xf>
    <xf numFmtId="3" fontId="59" fillId="10" borderId="3" xfId="15" applyNumberFormat="1" applyFont="1" applyFill="1" applyBorder="1" applyAlignment="1" applyProtection="1">
      <alignment horizontal="center" vertical="center" wrapText="1"/>
    </xf>
    <xf numFmtId="1" fontId="59" fillId="10" borderId="3" xfId="15" applyNumberFormat="1" applyFont="1" applyFill="1" applyBorder="1" applyAlignment="1" applyProtection="1">
      <alignment horizontal="center" vertical="center"/>
    </xf>
    <xf numFmtId="49" fontId="59" fillId="10" borderId="8" xfId="18" applyNumberFormat="1" applyFont="1" applyFill="1" applyBorder="1" applyAlignment="1">
      <alignment horizontal="center" vertical="center" wrapText="1"/>
    </xf>
    <xf numFmtId="165" fontId="59" fillId="10" borderId="8" xfId="0" applyNumberFormat="1" applyFont="1" applyFill="1" applyBorder="1" applyAlignment="1">
      <alignment horizontal="center" vertical="center"/>
    </xf>
    <xf numFmtId="0" fontId="59" fillId="11" borderId="8" xfId="0" applyFont="1" applyFill="1" applyBorder="1" applyAlignment="1">
      <alignment horizontal="left" vertical="center" wrapText="1"/>
    </xf>
    <xf numFmtId="2" fontId="59" fillId="11" borderId="8" xfId="15" applyNumberFormat="1" applyFont="1" applyFill="1" applyBorder="1" applyAlignment="1" applyProtection="1">
      <alignment horizontal="left" vertical="center" wrapText="1"/>
    </xf>
    <xf numFmtId="1" fontId="59" fillId="10" borderId="8" xfId="15" applyNumberFormat="1" applyFont="1" applyFill="1" applyBorder="1" applyAlignment="1" applyProtection="1">
      <alignment horizontal="center" vertical="center" wrapText="1"/>
    </xf>
    <xf numFmtId="0" fontId="59" fillId="11" borderId="8" xfId="15" applyFont="1" applyFill="1" applyBorder="1" applyAlignment="1" applyProtection="1">
      <alignment horizontal="left" vertical="top" wrapText="1"/>
    </xf>
    <xf numFmtId="0" fontId="59" fillId="11" borderId="8" xfId="23" applyFont="1" applyFill="1" applyBorder="1" applyAlignment="1">
      <alignment horizontal="center" vertical="center" wrapText="1"/>
    </xf>
    <xf numFmtId="0" fontId="59" fillId="10" borderId="8" xfId="23" applyFont="1" applyFill="1" applyBorder="1" applyAlignment="1">
      <alignment horizontal="center" vertical="center" wrapText="1"/>
    </xf>
    <xf numFmtId="0" fontId="59" fillId="10" borderId="8" xfId="17" applyFont="1" applyFill="1" applyBorder="1" applyAlignment="1">
      <alignment horizontal="center" vertical="center" wrapText="1"/>
    </xf>
    <xf numFmtId="0" fontId="59" fillId="10" borderId="8" xfId="0" applyFont="1" applyFill="1" applyBorder="1" applyAlignment="1">
      <alignment horizontal="center" vertical="top" wrapText="1"/>
    </xf>
    <xf numFmtId="0" fontId="59" fillId="11" borderId="8" xfId="21" applyFont="1" applyFill="1" applyBorder="1" applyAlignment="1">
      <alignment horizontal="center" vertical="center" wrapText="1"/>
    </xf>
    <xf numFmtId="165" fontId="59" fillId="10" borderId="8" xfId="2" applyFont="1" applyFill="1" applyBorder="1" applyAlignment="1" applyProtection="1">
      <alignment horizontal="center" vertical="center"/>
    </xf>
    <xf numFmtId="0" fontId="59" fillId="11" borderId="8" xfId="11" applyFont="1" applyFill="1" applyBorder="1" applyAlignment="1">
      <alignment horizontal="center" vertical="center" wrapText="1"/>
    </xf>
    <xf numFmtId="0" fontId="59" fillId="11" borderId="8" xfId="12" applyFont="1" applyFill="1" applyBorder="1" applyAlignment="1">
      <alignment horizontal="center" vertical="center" wrapText="1"/>
    </xf>
    <xf numFmtId="165" fontId="59" fillId="10" borderId="8" xfId="0" applyNumberFormat="1" applyFont="1" applyFill="1" applyBorder="1" applyAlignment="1">
      <alignment horizontal="center" vertical="center" wrapText="1"/>
    </xf>
    <xf numFmtId="4" fontId="59" fillId="11" borderId="8" xfId="11" applyNumberFormat="1" applyFont="1" applyFill="1" applyBorder="1" applyAlignment="1">
      <alignment horizontal="center" vertical="center" wrapText="1"/>
    </xf>
    <xf numFmtId="0" fontId="59" fillId="11" borderId="8" xfId="13" applyFont="1" applyFill="1" applyBorder="1" applyAlignment="1">
      <alignment horizontal="center" vertical="center" wrapText="1"/>
    </xf>
    <xf numFmtId="0" fontId="59" fillId="10" borderId="8" xfId="13" applyFont="1" applyFill="1" applyBorder="1" applyAlignment="1">
      <alignment horizontal="center" vertical="center" wrapText="1"/>
    </xf>
    <xf numFmtId="0" fontId="59" fillId="10" borderId="8" xfId="12" applyFont="1" applyFill="1" applyBorder="1" applyAlignment="1">
      <alignment horizontal="center" vertical="center"/>
    </xf>
    <xf numFmtId="166" fontId="59" fillId="10" borderId="8" xfId="0" applyNumberFormat="1" applyFont="1" applyFill="1" applyBorder="1" applyAlignment="1">
      <alignment horizontal="right" vertical="center"/>
    </xf>
    <xf numFmtId="0" fontId="59" fillId="10" borderId="8" xfId="20" applyFont="1" applyFill="1" applyBorder="1" applyAlignment="1">
      <alignment horizontal="center" vertical="center" wrapText="1"/>
    </xf>
    <xf numFmtId="165" fontId="59" fillId="10" borderId="8" xfId="2" applyFont="1" applyFill="1" applyBorder="1" applyAlignment="1" applyProtection="1">
      <alignment horizontal="center" vertical="center" wrapText="1"/>
    </xf>
    <xf numFmtId="0" fontId="59" fillId="11" borderId="8" xfId="6" applyFont="1" applyFill="1" applyBorder="1" applyAlignment="1">
      <alignment horizontal="center" vertical="center" wrapText="1"/>
    </xf>
    <xf numFmtId="0" fontId="59" fillId="10" borderId="8" xfId="6" applyFont="1" applyFill="1" applyBorder="1" applyAlignment="1">
      <alignment horizontal="center" vertical="center" wrapText="1"/>
    </xf>
    <xf numFmtId="165" fontId="59" fillId="10" borderId="8" xfId="6" applyNumberFormat="1" applyFont="1" applyFill="1" applyBorder="1" applyAlignment="1">
      <alignment horizontal="center" vertical="center" wrapText="1"/>
    </xf>
    <xf numFmtId="3" fontId="45" fillId="0" borderId="11" xfId="0" applyNumberFormat="1" applyFont="1" applyBorder="1" applyAlignment="1">
      <alignment horizontal="right" vertical="center"/>
    </xf>
    <xf numFmtId="3" fontId="44" fillId="0" borderId="11" xfId="1" applyNumberFormat="1" applyFont="1" applyBorder="1" applyAlignment="1" applyProtection="1">
      <alignment horizontal="center" vertical="center" wrapText="1"/>
    </xf>
    <xf numFmtId="0" fontId="23" fillId="18" borderId="0" xfId="0" applyFont="1" applyFill="1" applyAlignment="1">
      <alignment horizontal="center" vertical="center"/>
    </xf>
    <xf numFmtId="0" fontId="55" fillId="18" borderId="0" xfId="0" applyFont="1" applyFill="1" applyAlignment="1">
      <alignment horizontal="center" vertical="center" wrapText="1"/>
    </xf>
    <xf numFmtId="0" fontId="55" fillId="18" borderId="0" xfId="0" applyFont="1" applyFill="1" applyAlignment="1">
      <alignment horizontal="center" vertical="center"/>
    </xf>
    <xf numFmtId="0" fontId="51" fillId="10" borderId="0" xfId="15" applyFont="1" applyFill="1" applyBorder="1" applyAlignment="1" applyProtection="1">
      <alignment vertical="center"/>
    </xf>
    <xf numFmtId="168" fontId="28" fillId="15" borderId="0" xfId="0" applyNumberFormat="1" applyFont="1" applyFill="1" applyBorder="1" applyAlignment="1">
      <alignment horizontal="left" vertical="center" wrapText="1"/>
    </xf>
    <xf numFmtId="0" fontId="23" fillId="10" borderId="0" xfId="0" applyFont="1" applyFill="1" applyAlignment="1">
      <alignment horizontal="center" vertical="center"/>
    </xf>
    <xf numFmtId="0" fontId="6" fillId="10" borderId="0" xfId="0" applyFont="1" applyFill="1" applyAlignment="1">
      <alignment horizontal="center" vertical="center"/>
    </xf>
    <xf numFmtId="0" fontId="6" fillId="10" borderId="0" xfId="0" applyFont="1" applyFill="1" applyAlignment="1">
      <alignment vertical="center"/>
    </xf>
    <xf numFmtId="3" fontId="45" fillId="18" borderId="8" xfId="0" applyNumberFormat="1" applyFont="1" applyFill="1" applyBorder="1" applyAlignment="1">
      <alignment horizontal="right" vertical="center"/>
    </xf>
    <xf numFmtId="0" fontId="45" fillId="18" borderId="8" xfId="0" applyFont="1" applyFill="1" applyBorder="1" applyAlignment="1">
      <alignment horizontal="center" vertical="center" wrapText="1"/>
    </xf>
    <xf numFmtId="1" fontId="45" fillId="18" borderId="8" xfId="13" applyNumberFormat="1" applyFont="1" applyFill="1" applyBorder="1" applyAlignment="1">
      <alignment horizontal="center" vertical="center" wrapText="1"/>
    </xf>
    <xf numFmtId="4" fontId="6" fillId="18" borderId="0" xfId="0" applyNumberFormat="1" applyFont="1" applyFill="1" applyAlignment="1">
      <alignment horizontal="center" vertical="center"/>
    </xf>
    <xf numFmtId="0" fontId="6" fillId="18" borderId="0" xfId="0" applyFont="1" applyFill="1" applyAlignment="1">
      <alignment horizontal="center" vertical="center"/>
    </xf>
    <xf numFmtId="0" fontId="6" fillId="10" borderId="8" xfId="0" applyFont="1" applyFill="1" applyBorder="1" applyAlignment="1">
      <alignment horizontal="center" vertical="center"/>
    </xf>
    <xf numFmtId="0" fontId="4" fillId="10" borderId="0" xfId="0" applyFont="1" applyFill="1" applyAlignment="1">
      <alignment vertical="center"/>
    </xf>
    <xf numFmtId="49" fontId="56" fillId="17" borderId="6" xfId="0" applyNumberFormat="1" applyFont="1" applyFill="1" applyBorder="1" applyAlignment="1">
      <alignment horizontal="left" vertical="center" wrapText="1"/>
    </xf>
    <xf numFmtId="3" fontId="20" fillId="17" borderId="0" xfId="15" applyNumberFormat="1" applyFont="1" applyFill="1" applyBorder="1" applyAlignment="1" applyProtection="1">
      <alignment horizontal="right" vertical="center"/>
    </xf>
    <xf numFmtId="3" fontId="20" fillId="17" borderId="0" xfId="0" applyNumberFormat="1" applyFont="1" applyFill="1" applyBorder="1" applyAlignment="1">
      <alignment horizontal="right" vertical="center"/>
    </xf>
    <xf numFmtId="0" fontId="20" fillId="17" borderId="0" xfId="15" applyFont="1" applyFill="1" applyBorder="1" applyAlignment="1" applyProtection="1">
      <alignment horizontal="center" vertical="center" wrapText="1"/>
    </xf>
    <xf numFmtId="0" fontId="20" fillId="17" borderId="0" xfId="5" applyFont="1" applyFill="1" applyBorder="1" applyAlignment="1">
      <alignment vertical="center" wrapText="1"/>
    </xf>
    <xf numFmtId="4" fontId="6" fillId="17" borderId="0" xfId="0" applyNumberFormat="1" applyFont="1" applyFill="1" applyBorder="1" applyAlignment="1">
      <alignment horizontal="center" vertical="center"/>
    </xf>
    <xf numFmtId="4" fontId="7" fillId="17" borderId="0" xfId="0" applyNumberFormat="1" applyFont="1" applyFill="1" applyBorder="1" applyAlignment="1">
      <alignment horizontal="center" vertical="center"/>
    </xf>
    <xf numFmtId="0" fontId="6" fillId="17" borderId="0" xfId="0" applyFont="1" applyFill="1" applyBorder="1" applyAlignment="1">
      <alignment horizontal="center" vertical="center"/>
    </xf>
    <xf numFmtId="0" fontId="6" fillId="18" borderId="0" xfId="10" applyFont="1" applyFill="1" applyAlignment="1">
      <alignment horizontal="left"/>
    </xf>
    <xf numFmtId="0" fontId="6" fillId="19" borderId="0" xfId="0" applyFont="1" applyFill="1" applyAlignment="1">
      <alignment horizontal="center" vertical="center"/>
    </xf>
    <xf numFmtId="0" fontId="59" fillId="10" borderId="4" xfId="15" applyFont="1" applyFill="1" applyBorder="1" applyAlignment="1" applyProtection="1">
      <alignment vertical="center" wrapText="1"/>
    </xf>
    <xf numFmtId="49" fontId="59" fillId="10" borderId="8" xfId="0" applyNumberFormat="1" applyFont="1" applyFill="1" applyBorder="1" applyAlignment="1">
      <alignment vertical="center" wrapText="1"/>
    </xf>
    <xf numFmtId="168" fontId="59" fillId="10" borderId="8" xfId="0" applyNumberFormat="1" applyFont="1" applyFill="1" applyBorder="1" applyAlignment="1">
      <alignment vertical="top" wrapText="1"/>
    </xf>
    <xf numFmtId="49" fontId="59" fillId="10" borderId="8" xfId="0" applyNumberFormat="1" applyFont="1" applyFill="1" applyBorder="1" applyAlignment="1">
      <alignment vertical="top" wrapText="1"/>
    </xf>
    <xf numFmtId="1" fontId="59" fillId="10" borderId="8" xfId="13" applyNumberFormat="1" applyFont="1" applyFill="1" applyBorder="1" applyAlignment="1">
      <alignment vertical="top" wrapText="1"/>
    </xf>
    <xf numFmtId="1" fontId="59" fillId="10" borderId="8" xfId="12" applyNumberFormat="1" applyFont="1" applyFill="1" applyBorder="1" applyAlignment="1">
      <alignment vertical="top"/>
    </xf>
    <xf numFmtId="3" fontId="59" fillId="10" borderId="8" xfId="0" applyNumberFormat="1" applyFont="1" applyFill="1" applyBorder="1" applyAlignment="1">
      <alignment vertical="center" wrapText="1"/>
    </xf>
    <xf numFmtId="0" fontId="59" fillId="10" borderId="8" xfId="20" applyFont="1" applyFill="1" applyBorder="1" applyAlignment="1">
      <alignment vertical="top" wrapText="1"/>
    </xf>
    <xf numFmtId="3" fontId="18" fillId="18" borderId="0" xfId="0" applyNumberFormat="1" applyFont="1" applyFill="1" applyBorder="1" applyAlignment="1">
      <alignment horizontal="center" vertical="center" wrapText="1"/>
    </xf>
    <xf numFmtId="3" fontId="18" fillId="0" borderId="0" xfId="0" applyNumberFormat="1" applyFont="1" applyBorder="1" applyAlignment="1">
      <alignment horizontal="left" vertical="center" wrapText="1"/>
    </xf>
    <xf numFmtId="3" fontId="18" fillId="18" borderId="0" xfId="0" applyNumberFormat="1" applyFont="1" applyFill="1" applyAlignment="1">
      <alignment horizontal="left" vertical="center" wrapText="1"/>
    </xf>
    <xf numFmtId="0" fontId="63" fillId="0" borderId="0" xfId="0" applyFont="1" applyBorder="1" applyAlignment="1">
      <alignment horizontal="left" vertical="center" wrapText="1"/>
    </xf>
    <xf numFmtId="3" fontId="63" fillId="18" borderId="0" xfId="0" applyNumberFormat="1" applyFont="1" applyFill="1" applyBorder="1" applyAlignment="1">
      <alignment horizontal="left" vertical="center" wrapText="1"/>
    </xf>
    <xf numFmtId="0" fontId="59" fillId="10" borderId="47" xfId="0" applyFont="1" applyFill="1" applyBorder="1" applyAlignment="1">
      <alignment horizontal="center" vertical="center"/>
    </xf>
    <xf numFmtId="0" fontId="59" fillId="10" borderId="43" xfId="0" applyFont="1" applyFill="1" applyBorder="1" applyAlignment="1">
      <alignment horizontal="left" vertical="top" wrapText="1"/>
    </xf>
    <xf numFmtId="0" fontId="59" fillId="11" borderId="43" xfId="0" applyFont="1" applyFill="1" applyBorder="1" applyAlignment="1">
      <alignment horizontal="center" vertical="center"/>
    </xf>
    <xf numFmtId="49" fontId="59" fillId="12" borderId="43" xfId="0" applyNumberFormat="1" applyFont="1" applyFill="1" applyBorder="1" applyAlignment="1">
      <alignment horizontal="center" vertical="center" wrapText="1"/>
    </xf>
    <xf numFmtId="0" fontId="59" fillId="10" borderId="43" xfId="0" applyFont="1" applyFill="1" applyBorder="1" applyAlignment="1">
      <alignment horizontal="center" vertical="center" wrapText="1"/>
    </xf>
    <xf numFmtId="1" fontId="59" fillId="13" borderId="43" xfId="0" applyNumberFormat="1" applyFont="1" applyFill="1" applyBorder="1" applyAlignment="1">
      <alignment horizontal="center" vertical="center" wrapText="1"/>
    </xf>
    <xf numFmtId="3" fontId="59" fillId="10" borderId="43" xfId="0" applyNumberFormat="1" applyFont="1" applyFill="1" applyBorder="1" applyAlignment="1">
      <alignment horizontal="center" vertical="center"/>
    </xf>
    <xf numFmtId="166" fontId="59" fillId="10" borderId="43" xfId="15" applyNumberFormat="1" applyFont="1" applyFill="1" applyBorder="1" applyAlignment="1" applyProtection="1">
      <alignment horizontal="center" vertical="center"/>
    </xf>
    <xf numFmtId="166" fontId="59" fillId="16" borderId="43" xfId="15" applyNumberFormat="1" applyFont="1" applyFill="1" applyBorder="1" applyAlignment="1" applyProtection="1">
      <alignment horizontal="center" vertical="center"/>
    </xf>
    <xf numFmtId="3" fontId="59" fillId="10" borderId="43" xfId="15" applyNumberFormat="1" applyFont="1" applyFill="1" applyBorder="1" applyAlignment="1" applyProtection="1">
      <alignment horizontal="center" vertical="center"/>
    </xf>
    <xf numFmtId="49" fontId="59" fillId="10" borderId="43" xfId="0" applyNumberFormat="1" applyFont="1" applyFill="1" applyBorder="1" applyAlignment="1">
      <alignment horizontal="center" vertical="center" wrapText="1"/>
    </xf>
    <xf numFmtId="3" fontId="59" fillId="15" borderId="43" xfId="0" applyNumberFormat="1" applyFont="1" applyFill="1" applyBorder="1" applyAlignment="1">
      <alignment horizontal="center" vertical="center" wrapText="1"/>
    </xf>
    <xf numFmtId="168" fontId="59" fillId="15" borderId="43" xfId="0" applyNumberFormat="1" applyFont="1" applyFill="1" applyBorder="1" applyAlignment="1">
      <alignment horizontal="left" vertical="top" wrapText="1"/>
    </xf>
    <xf numFmtId="49" fontId="43" fillId="3" borderId="19" xfId="0" applyNumberFormat="1" applyFont="1" applyFill="1" applyBorder="1" applyAlignment="1">
      <alignment horizontal="center" vertical="center" wrapText="1"/>
    </xf>
    <xf numFmtId="49" fontId="43" fillId="3" borderId="20" xfId="0" applyNumberFormat="1" applyFont="1" applyFill="1" applyBorder="1" applyAlignment="1">
      <alignment horizontal="center" vertical="center" wrapText="1"/>
    </xf>
    <xf numFmtId="0" fontId="43" fillId="15" borderId="20" xfId="0" applyFont="1" applyFill="1" applyBorder="1" applyAlignment="1">
      <alignment horizontal="center" vertical="center"/>
    </xf>
    <xf numFmtId="4" fontId="43" fillId="3" borderId="20" xfId="0" applyNumberFormat="1" applyFont="1" applyFill="1" applyBorder="1" applyAlignment="1">
      <alignment horizontal="center" vertical="center"/>
    </xf>
    <xf numFmtId="0" fontId="44" fillId="3" borderId="20" xfId="0" applyFont="1" applyFill="1" applyBorder="1" applyAlignment="1">
      <alignment horizontal="center" vertical="center"/>
    </xf>
    <xf numFmtId="49" fontId="44" fillId="3" borderId="20" xfId="0" applyNumberFormat="1" applyFont="1" applyFill="1" applyBorder="1" applyAlignment="1">
      <alignment horizontal="center" vertical="center" wrapText="1"/>
    </xf>
    <xf numFmtId="49" fontId="28" fillId="3" borderId="21" xfId="0" applyNumberFormat="1" applyFont="1" applyFill="1" applyBorder="1" applyAlignment="1">
      <alignment horizontal="left" vertical="center" wrapText="1"/>
    </xf>
    <xf numFmtId="3" fontId="8" fillId="0" borderId="0" xfId="0" applyNumberFormat="1" applyFont="1" applyBorder="1" applyAlignment="1">
      <alignment horizontal="left"/>
    </xf>
    <xf numFmtId="4" fontId="28" fillId="3" borderId="0" xfId="0" applyNumberFormat="1" applyFont="1" applyFill="1" applyBorder="1" applyAlignment="1">
      <alignment horizontal="center" wrapText="1"/>
    </xf>
    <xf numFmtId="0" fontId="39" fillId="3" borderId="8" xfId="0" applyFont="1" applyFill="1" applyBorder="1" applyAlignment="1">
      <alignment horizontal="center"/>
    </xf>
    <xf numFmtId="0" fontId="20" fillId="0" borderId="0" xfId="0" applyFont="1" applyBorder="1" applyAlignment="1">
      <alignment horizontal="left" vertical="center" wrapText="1"/>
    </xf>
    <xf numFmtId="0" fontId="36" fillId="0" borderId="0" xfId="9" applyFont="1" applyBorder="1" applyAlignment="1">
      <alignment horizontal="center" vertical="center" wrapText="1"/>
    </xf>
    <xf numFmtId="0" fontId="34" fillId="0" borderId="0" xfId="0" applyFont="1" applyBorder="1" applyAlignment="1">
      <alignment vertical="top" wrapText="1"/>
    </xf>
    <xf numFmtId="0" fontId="34" fillId="0" borderId="0" xfId="0" applyFont="1" applyBorder="1" applyAlignment="1">
      <alignment vertical="top"/>
    </xf>
    <xf numFmtId="3" fontId="7" fillId="3" borderId="4"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0" fontId="20" fillId="0" borderId="0" xfId="5" applyFont="1" applyBorder="1" applyAlignment="1">
      <alignment horizontal="left" vertical="center" wrapText="1"/>
    </xf>
    <xf numFmtId="0" fontId="10" fillId="3" borderId="0" xfId="0" applyFont="1" applyFill="1" applyBorder="1" applyAlignment="1">
      <alignment horizontal="center"/>
    </xf>
    <xf numFmtId="0" fontId="7" fillId="3" borderId="2"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3" fontId="7" fillId="3" borderId="3" xfId="0" applyNumberFormat="1"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3" fontId="43" fillId="3" borderId="37" xfId="0" applyNumberFormat="1" applyFont="1" applyFill="1" applyBorder="1" applyAlignment="1">
      <alignment horizontal="center" vertical="center" wrapText="1"/>
    </xf>
    <xf numFmtId="0" fontId="43" fillId="3" borderId="37" xfId="0" applyFont="1" applyFill="1" applyBorder="1" applyAlignment="1">
      <alignment horizontal="center" vertical="center" wrapText="1"/>
    </xf>
    <xf numFmtId="3" fontId="43" fillId="3" borderId="4" xfId="0" applyNumberFormat="1" applyFont="1" applyFill="1" applyBorder="1" applyAlignment="1">
      <alignment horizontal="center" vertical="center" wrapText="1"/>
    </xf>
    <xf numFmtId="0" fontId="10" fillId="15" borderId="0" xfId="0" applyFont="1" applyFill="1" applyBorder="1" applyAlignment="1">
      <alignment horizontal="center"/>
    </xf>
    <xf numFmtId="0" fontId="43" fillId="3" borderId="36" xfId="0" applyFont="1" applyFill="1" applyBorder="1" applyAlignment="1">
      <alignment horizontal="center" vertical="center" wrapText="1"/>
    </xf>
    <xf numFmtId="49" fontId="43" fillId="15" borderId="37" xfId="0" applyNumberFormat="1" applyFont="1" applyFill="1" applyBorder="1" applyAlignment="1">
      <alignment horizontal="center" vertical="center" wrapText="1"/>
    </xf>
    <xf numFmtId="1" fontId="43" fillId="10" borderId="37" xfId="0" applyNumberFormat="1" applyFont="1" applyFill="1" applyBorder="1" applyAlignment="1">
      <alignment horizontal="center" vertical="center" wrapText="1"/>
    </xf>
    <xf numFmtId="166" fontId="43" fillId="3" borderId="37" xfId="0" applyNumberFormat="1" applyFont="1" applyFill="1" applyBorder="1" applyAlignment="1">
      <alignment horizontal="center" vertical="center" wrapText="1"/>
    </xf>
    <xf numFmtId="3" fontId="43" fillId="15" borderId="37" xfId="0" applyNumberFormat="1" applyFont="1" applyFill="1" applyBorder="1" applyAlignment="1">
      <alignment horizontal="center" vertical="center" wrapText="1"/>
    </xf>
    <xf numFmtId="49" fontId="7" fillId="3" borderId="3" xfId="0" applyNumberFormat="1" applyFont="1" applyFill="1" applyBorder="1" applyAlignment="1">
      <alignment horizontal="left" vertical="center" wrapText="1"/>
    </xf>
    <xf numFmtId="4" fontId="7" fillId="3" borderId="3" xfId="0" applyNumberFormat="1" applyFont="1" applyFill="1" applyBorder="1" applyAlignment="1">
      <alignment horizontal="center" vertical="center" wrapText="1"/>
    </xf>
    <xf numFmtId="0" fontId="48" fillId="0" borderId="0" xfId="0" applyFont="1" applyBorder="1" applyAlignment="1">
      <alignment horizontal="center" vertical="center"/>
    </xf>
    <xf numFmtId="0" fontId="8" fillId="0" borderId="0" xfId="0" applyFont="1" applyBorder="1" applyAlignment="1">
      <alignment horizontal="left" vertical="center" wrapText="1"/>
    </xf>
  </cellXfs>
  <cellStyles count="24">
    <cellStyle name="Comma" xfId="1" builtinId="3"/>
    <cellStyle name="Comma 2" xfId="3"/>
    <cellStyle name="Excel Built-in Excel Built-in Excel Built-in Excel Built-in Excel Built-in Excel Built-in Excel Bui" xfId="21"/>
    <cellStyle name="Excel Built-in Excel Built-in Excel Built-in Excel Built-in Excel Built-in Excel Built-in Excel Built-in Excel Bui" xfId="23"/>
    <cellStyle name="Excel Built-in Excel Built-in Excel Built-in Excel Built-in Excel Built-in Excel Built-in Excel Built-in Excel Buil" xfId="17"/>
    <cellStyle name="Excel Built-in Excel Built-in Excel Built-in Excel Built-in Excel Built-in Excel Built-in Excel Built-in Excel Built-in Excel Built-in Excel Built-in Excel Built-in Excel Built-in Excel Bui" xfId="18"/>
    <cellStyle name="Excel Built-in Excel Built-in Excel Built-in Excel Built-in Excel Built-in Excel Built-in Excel Built-in Excel Built-in Excel Built-in Excel Built-in Excel Built-in Excel Built-in Excel Built-in Excel Built-in Excel Built-in Excel Built-in Excel" xfId="20"/>
    <cellStyle name="Excel Built-in Neutral" xfId="22"/>
    <cellStyle name="Excel Built-in Normal" xfId="19"/>
    <cellStyle name="Normal" xfId="0" builtinId="0"/>
    <cellStyle name="Normal 10" xfId="4"/>
    <cellStyle name="Normal 2" xfId="5"/>
    <cellStyle name="Normal 2 2" xfId="6"/>
    <cellStyle name="Normal 3" xfId="7"/>
    <cellStyle name="Normal 4" xfId="8"/>
    <cellStyle name="Normal 5" xfId="9"/>
    <cellStyle name="Normal 8" xfId="10"/>
    <cellStyle name="Normal_Datorii la 31 12 2011_Formular 29 - PARTEA II (sept)" xfId="11"/>
    <cellStyle name="Normal_Formular 29-partea II (inv)-diminuat" xfId="12"/>
    <cellStyle name="Normal_Formular 29-partea II (inv)-diminuat 3" xfId="13"/>
    <cellStyle name="Percent" xfId="2" builtinId="5"/>
    <cellStyle name="Percent 2" xfId="14"/>
    <cellStyle name="TableStyleLight1" xfId="15"/>
    <cellStyle name="TableStyleLight1 2" xfId="1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9C65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CCFFFF"/>
      <rgbColor rgb="FFFBE5D6"/>
      <rgbColor rgb="FFFFEB9C"/>
      <rgbColor rgb="FF99CCFF"/>
      <rgbColor rgb="FFFF99CC"/>
      <rgbColor rgb="FFCC99FF"/>
      <rgbColor rgb="FFF8CBAD"/>
      <rgbColor rgb="FF3366FF"/>
      <rgbColor rgb="FF33CCCC"/>
      <rgbColor rgb="FF92D050"/>
      <rgbColor rgb="FFFFC000"/>
      <rgbColor rgb="FFFF9900"/>
      <rgbColor rgb="FFFF6600"/>
      <rgbColor rgb="FF59595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valorii actualizate a proiectelor de investiții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3132573057733399"/>
          <c:y val="0.32446808510638298"/>
          <c:w val="0.78296507483962896"/>
          <c:h val="0.569148936170213"/>
        </c:manualLayout>
      </c:layout>
      <c:pie3DChart>
        <c:varyColors val="1"/>
        <c:ser>
          <c:idx val="0"/>
          <c:order val="0"/>
          <c:spPr>
            <a:solidFill>
              <a:srgbClr val="5B9BD5"/>
            </a:solidFill>
            <a:ln w="0">
              <a:noFill/>
            </a:ln>
          </c:spPr>
          <c:extLst>
            <c:ext xmlns:c16="http://schemas.microsoft.com/office/drawing/2014/chart" uri="{C3380CC4-5D6E-409C-BE32-E72D297353CC}">
              <c16:uniqueId val="{00000000-BB29-41A9-A1CB-1B2C35E41C7B}"/>
            </c:ext>
          </c:extLst>
        </c:ser>
        <c:dLbls>
          <c:showLegendKey val="0"/>
          <c:showVal val="0"/>
          <c:showCatName val="0"/>
          <c:showSerName val="0"/>
          <c:showPercent val="0"/>
          <c:showBubbleSize val="0"/>
          <c:showLeaderLines val="1"/>
        </c:dLbls>
      </c:pie3DChart>
    </c:plotArea>
    <c:legend>
      <c:legendPos val="b"/>
      <c:layout>
        <c:manualLayout>
          <c:xMode val="edge"/>
          <c:yMode val="edge"/>
          <c:x val="0.16433691924208599"/>
          <c:y val="0.88315223854431502"/>
          <c:w val="0.71892980302490805"/>
          <c:h val="0.110059880335535"/>
        </c:manualLayout>
      </c:layout>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restului de finanțat până la finalizare pe ordonatori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52198107957707"/>
          <c:y val="0.297634691195795"/>
          <c:w val="0.78510480430346896"/>
          <c:h val="0.58508541392904101"/>
        </c:manualLayout>
      </c:layout>
      <c:pie3DChart>
        <c:varyColors val="1"/>
        <c:ser>
          <c:idx val="0"/>
          <c:order val="0"/>
          <c:spPr>
            <a:solidFill>
              <a:srgbClr val="5B9BD5"/>
            </a:solidFill>
            <a:ln w="0">
              <a:noFill/>
            </a:ln>
          </c:spPr>
          <c:extLst>
            <c:ext xmlns:c16="http://schemas.microsoft.com/office/drawing/2014/chart" uri="{C3380CC4-5D6E-409C-BE32-E72D297353CC}">
              <c16:uniqueId val="{00000000-4505-4242-A71F-58EC95992E3D}"/>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000" b="0" strike="noStrike" spc="-1">
                <a:solidFill>
                  <a:srgbClr val="595959"/>
                </a:solidFill>
                <a:latin typeface="Times New Roman"/>
              </a:defRPr>
            </a:pPr>
            <a:r>
              <a:rPr lang="ro-RO" sz="1000" b="0" strike="noStrike" spc="-1">
                <a:solidFill>
                  <a:srgbClr val="595959"/>
                </a:solidFill>
                <a:latin typeface="Times New Roman"/>
              </a:rPr>
              <a:t>Distribuția proiectelor de investiții publice semnificative cu stadiul fizic de execuție de 0%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
          <c:y val="0.24489795918367299"/>
          <c:w val="0.99984923865520903"/>
          <c:h val="0.61224489795918402"/>
        </c:manualLayout>
      </c:layout>
      <c:pie3DChart>
        <c:varyColors val="1"/>
        <c:ser>
          <c:idx val="0"/>
          <c:order val="0"/>
          <c:spPr>
            <a:solidFill>
              <a:srgbClr val="5B9BD5"/>
            </a:solidFill>
            <a:ln w="0">
              <a:noFill/>
            </a:ln>
          </c:spPr>
          <c:extLst>
            <c:ext xmlns:c16="http://schemas.microsoft.com/office/drawing/2014/chart" uri="{C3380CC4-5D6E-409C-BE32-E72D297353CC}">
              <c16:uniqueId val="{00000000-BF92-4C0D-8450-1E536EEDFC7C}"/>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2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valorii actualizate a proiectelor de investiții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3147937949300001"/>
          <c:y val="0.32446808510638298"/>
          <c:w val="0.78301172909572503"/>
          <c:h val="0.569148936170213"/>
        </c:manualLayout>
      </c:layout>
      <c:pie3DChart>
        <c:varyColors val="1"/>
        <c:ser>
          <c:idx val="0"/>
          <c:order val="0"/>
          <c:spPr>
            <a:solidFill>
              <a:srgbClr val="5B9BD5"/>
            </a:solidFill>
            <a:ln w="0">
              <a:noFill/>
            </a:ln>
          </c:spPr>
          <c:extLst>
            <c:ext xmlns:c16="http://schemas.microsoft.com/office/drawing/2014/chart" uri="{C3380CC4-5D6E-409C-BE32-E72D297353CC}">
              <c16:uniqueId val="{00000000-D5E4-4314-B8EE-519CDC84B94E}"/>
            </c:ext>
          </c:extLst>
        </c:ser>
        <c:dLbls>
          <c:showLegendKey val="0"/>
          <c:showVal val="0"/>
          <c:showCatName val="0"/>
          <c:showSerName val="0"/>
          <c:showPercent val="0"/>
          <c:showBubbleSize val="0"/>
          <c:showLeaderLines val="1"/>
        </c:dLbls>
      </c:pie3DChart>
    </c:plotArea>
    <c:legend>
      <c:legendPos val="b"/>
      <c:layout>
        <c:manualLayout>
          <c:xMode val="edge"/>
          <c:yMode val="edge"/>
          <c:x val="0.16433691924208599"/>
          <c:y val="0.88315223854431502"/>
          <c:w val="0.71892980302490805"/>
          <c:h val="0.110059880335535"/>
        </c:manualLayout>
      </c:layout>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restului de finanțat până la finalizare pe ordonatori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5211558307533499"/>
          <c:y val="0.297634691195795"/>
          <c:w val="0.78493292053663599"/>
          <c:h val="0.58508541392904101"/>
        </c:manualLayout>
      </c:layout>
      <c:pie3DChart>
        <c:varyColors val="1"/>
        <c:ser>
          <c:idx val="0"/>
          <c:order val="0"/>
          <c:spPr>
            <a:solidFill>
              <a:srgbClr val="5B9BD5"/>
            </a:solidFill>
            <a:ln w="0">
              <a:noFill/>
            </a:ln>
          </c:spPr>
          <c:extLst>
            <c:ext xmlns:c16="http://schemas.microsoft.com/office/drawing/2014/chart" uri="{C3380CC4-5D6E-409C-BE32-E72D297353CC}">
              <c16:uniqueId val="{00000000-C581-40E4-BFF5-8E7B5D166E1F}"/>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000" b="0" strike="noStrike" spc="-1">
                <a:solidFill>
                  <a:srgbClr val="595959"/>
                </a:solidFill>
                <a:latin typeface="Times New Roman"/>
              </a:defRPr>
            </a:pPr>
            <a:r>
              <a:rPr lang="ro-RO" sz="1000" b="0" strike="noStrike" spc="-1">
                <a:solidFill>
                  <a:srgbClr val="595959"/>
                </a:solidFill>
                <a:latin typeface="Times New Roman"/>
              </a:rPr>
              <a:t>Distribuția proiectelor de investiții publice semnificative cu stadiul fizic de execuție de 0%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
          <c:y val="0.24489795918367299"/>
          <c:w val="0.99984926138076602"/>
          <c:h val="0.61224489795918402"/>
        </c:manualLayout>
      </c:layout>
      <c:pie3DChart>
        <c:varyColors val="1"/>
        <c:ser>
          <c:idx val="0"/>
          <c:order val="0"/>
          <c:spPr>
            <a:solidFill>
              <a:srgbClr val="5B9BD5"/>
            </a:solidFill>
            <a:ln w="0">
              <a:noFill/>
            </a:ln>
          </c:spPr>
          <c:extLst>
            <c:ext xmlns:c16="http://schemas.microsoft.com/office/drawing/2014/chart" uri="{C3380CC4-5D6E-409C-BE32-E72D297353CC}">
              <c16:uniqueId val="{00000000-F1EA-490A-A9B7-1986413C6814}"/>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2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valorii actualizate a proiectelor de investiții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3122287464896601"/>
          <c:y val="0.32446808510638298"/>
          <c:w val="0.78299719172836402"/>
          <c:h val="0.569148936170213"/>
        </c:manualLayout>
      </c:layout>
      <c:pie3DChart>
        <c:varyColors val="1"/>
        <c:ser>
          <c:idx val="0"/>
          <c:order val="0"/>
          <c:spPr>
            <a:solidFill>
              <a:srgbClr val="5B9BD5"/>
            </a:solidFill>
            <a:ln w="0">
              <a:noFill/>
            </a:ln>
          </c:spPr>
          <c:extLst>
            <c:ext xmlns:c16="http://schemas.microsoft.com/office/drawing/2014/chart" uri="{C3380CC4-5D6E-409C-BE32-E72D297353CC}">
              <c16:uniqueId val="{00000000-3DFB-4BB6-B32D-AF2ECFDD3D5E}"/>
            </c:ext>
          </c:extLst>
        </c:ser>
        <c:dLbls>
          <c:showLegendKey val="0"/>
          <c:showVal val="0"/>
          <c:showCatName val="0"/>
          <c:showSerName val="0"/>
          <c:showPercent val="0"/>
          <c:showBubbleSize val="0"/>
          <c:showLeaderLines val="1"/>
        </c:dLbls>
      </c:pie3DChart>
    </c:plotArea>
    <c:legend>
      <c:legendPos val="b"/>
      <c:layout>
        <c:manualLayout>
          <c:xMode val="edge"/>
          <c:yMode val="edge"/>
          <c:x val="0.16433691924208599"/>
          <c:y val="0.88315223854431502"/>
          <c:w val="0.71892980302490805"/>
          <c:h val="0.110059880335535"/>
        </c:manualLayout>
      </c:layout>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200" b="0" strike="noStrike" spc="-1">
                <a:solidFill>
                  <a:srgbClr val="595959"/>
                </a:solidFill>
                <a:latin typeface="Times New Roman"/>
              </a:defRPr>
            </a:pPr>
            <a:r>
              <a:rPr lang="ro-RO" sz="1200" b="0" strike="noStrike" spc="-1">
                <a:solidFill>
                  <a:srgbClr val="595959"/>
                </a:solidFill>
                <a:latin typeface="Times New Roman"/>
              </a:rPr>
              <a:t>Distribuția procentuală a restului de finanțat până la finalizare pe ordonatori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15215039220990001"/>
          <c:y val="0.29375000000000001"/>
          <c:w val="0.78509602380308396"/>
          <c:h val="0.58125000000000004"/>
        </c:manualLayout>
      </c:layout>
      <c:pie3DChart>
        <c:varyColors val="1"/>
        <c:ser>
          <c:idx val="0"/>
          <c:order val="0"/>
          <c:spPr>
            <a:solidFill>
              <a:srgbClr val="5B9BD5"/>
            </a:solidFill>
            <a:ln w="0">
              <a:noFill/>
            </a:ln>
          </c:spPr>
          <c:extLst>
            <c:ext xmlns:c16="http://schemas.microsoft.com/office/drawing/2014/chart" uri="{C3380CC4-5D6E-409C-BE32-E72D297353CC}">
              <c16:uniqueId val="{00000000-47DD-4B8C-8F44-AA3597F13F8D}"/>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0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c:style val="2"/>
  <c:chart>
    <c:title>
      <c:tx>
        <c:rich>
          <a:bodyPr rot="0"/>
          <a:lstStyle/>
          <a:p>
            <a:pPr>
              <a:defRPr lang="ro-RO" sz="1000" b="0" strike="noStrike" spc="-1">
                <a:solidFill>
                  <a:srgbClr val="595959"/>
                </a:solidFill>
                <a:latin typeface="Times New Roman"/>
              </a:defRPr>
            </a:pPr>
            <a:r>
              <a:rPr lang="ro-RO" sz="1000" b="0" strike="noStrike" spc="-1">
                <a:solidFill>
                  <a:srgbClr val="595959"/>
                </a:solidFill>
                <a:latin typeface="Times New Roman"/>
              </a:rPr>
              <a:t>Distribuția proiectelor de investiții publice semnificative cu stadiul fizic de execuție de 0% pe ordonatorii principali de credite</a:t>
            </a:r>
          </a:p>
        </c:rich>
      </c:tx>
      <c:overlay val="0"/>
      <c:spPr>
        <a:noFill/>
        <a:ln w="0">
          <a:noFill/>
        </a:ln>
      </c:spPr>
    </c:title>
    <c:autoTitleDeleted val="0"/>
    <c:view3D>
      <c:rotX val="30"/>
      <c:rotY val="0"/>
      <c:rAngAx val="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manualLayout>
          <c:layoutTarget val="inner"/>
          <c:xMode val="edge"/>
          <c:yMode val="edge"/>
          <c:x val="0"/>
          <c:y val="0.24489795918367299"/>
          <c:w val="0.99984919318353205"/>
          <c:h val="0.61224489795918402"/>
        </c:manualLayout>
      </c:layout>
      <c:pie3DChart>
        <c:varyColors val="1"/>
        <c:ser>
          <c:idx val="0"/>
          <c:order val="0"/>
          <c:spPr>
            <a:solidFill>
              <a:srgbClr val="5B9BD5"/>
            </a:solidFill>
            <a:ln w="0">
              <a:noFill/>
            </a:ln>
          </c:spPr>
          <c:extLst>
            <c:ext xmlns:c16="http://schemas.microsoft.com/office/drawing/2014/chart" uri="{C3380CC4-5D6E-409C-BE32-E72D297353CC}">
              <c16:uniqueId val="{00000000-BA57-41E6-9FC1-C85C8BBAA92F}"/>
            </c:ext>
          </c:extLst>
        </c:ser>
        <c:dLbls>
          <c:showLegendKey val="0"/>
          <c:showVal val="0"/>
          <c:showCatName val="0"/>
          <c:showSerName val="0"/>
          <c:showPercent val="0"/>
          <c:showBubbleSize val="0"/>
          <c:showLeaderLines val="1"/>
        </c:dLbls>
      </c:pie3DChart>
    </c:plotArea>
    <c:legend>
      <c:legendPos val="b"/>
      <c:overlay val="0"/>
      <c:spPr>
        <a:noFill/>
        <a:ln w="0">
          <a:noFill/>
        </a:ln>
      </c:spPr>
      <c:txPr>
        <a:bodyPr/>
        <a:lstStyle/>
        <a:p>
          <a:pPr>
            <a:defRPr sz="1200" b="0" strike="noStrike" spc="-1">
              <a:solidFill>
                <a:srgbClr val="595959"/>
              </a:solidFill>
              <a:latin typeface="Times New Roman"/>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285840</xdr:colOff>
      <xdr:row>302</xdr:row>
      <xdr:rowOff>13680</xdr:rowOff>
    </xdr:from>
    <xdr:to>
      <xdr:col>2</xdr:col>
      <xdr:colOff>253800</xdr:colOff>
      <xdr:row>302</xdr:row>
      <xdr:rowOff>81000</xdr:rowOff>
    </xdr:to>
    <xdr:graphicFrame macro="">
      <xdr:nvGraphicFramePr>
        <xdr:cNvPr id="2" name="Diagramă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190440</xdr:colOff>
      <xdr:row>302</xdr:row>
      <xdr:rowOff>27360</xdr:rowOff>
    </xdr:from>
    <xdr:to>
      <xdr:col>1</xdr:col>
      <xdr:colOff>4071600</xdr:colOff>
      <xdr:row>304</xdr:row>
      <xdr:rowOff>84600</xdr:rowOff>
    </xdr:to>
    <xdr:graphicFrame macro="">
      <xdr:nvGraphicFramePr>
        <xdr:cNvPr id="3" name="Diagramă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302</xdr:row>
      <xdr:rowOff>0</xdr:rowOff>
    </xdr:from>
    <xdr:to>
      <xdr:col>2</xdr:col>
      <xdr:colOff>703080</xdr:colOff>
      <xdr:row>302</xdr:row>
      <xdr:rowOff>34920</xdr:rowOff>
    </xdr:to>
    <xdr:graphicFrame macro="">
      <xdr:nvGraphicFramePr>
        <xdr:cNvPr id="4" name="Diagramă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286560</xdr:colOff>
      <xdr:row>317</xdr:row>
      <xdr:rowOff>14040</xdr:rowOff>
    </xdr:from>
    <xdr:to>
      <xdr:col>2</xdr:col>
      <xdr:colOff>254160</xdr:colOff>
      <xdr:row>317</xdr:row>
      <xdr:rowOff>81360</xdr:rowOff>
    </xdr:to>
    <xdr:graphicFrame macro="">
      <xdr:nvGraphicFramePr>
        <xdr:cNvPr id="3" name="Diagramă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191160</xdr:colOff>
      <xdr:row>317</xdr:row>
      <xdr:rowOff>27720</xdr:rowOff>
    </xdr:from>
    <xdr:to>
      <xdr:col>2</xdr:col>
      <xdr:colOff>3157</xdr:colOff>
      <xdr:row>319</xdr:row>
      <xdr:rowOff>84959</xdr:rowOff>
    </xdr:to>
    <xdr:graphicFrame macro="">
      <xdr:nvGraphicFramePr>
        <xdr:cNvPr id="4" name="Diagramă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720</xdr:colOff>
      <xdr:row>317</xdr:row>
      <xdr:rowOff>360</xdr:rowOff>
    </xdr:from>
    <xdr:to>
      <xdr:col>5</xdr:col>
      <xdr:colOff>445011</xdr:colOff>
      <xdr:row>317</xdr:row>
      <xdr:rowOff>35280</xdr:rowOff>
    </xdr:to>
    <xdr:graphicFrame macro="">
      <xdr:nvGraphicFramePr>
        <xdr:cNvPr id="5" name="Diagramă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285840</xdr:colOff>
      <xdr:row>210</xdr:row>
      <xdr:rowOff>13680</xdr:rowOff>
    </xdr:from>
    <xdr:to>
      <xdr:col>2</xdr:col>
      <xdr:colOff>253800</xdr:colOff>
      <xdr:row>210</xdr:row>
      <xdr:rowOff>81000</xdr:rowOff>
    </xdr:to>
    <xdr:graphicFrame macro="">
      <xdr:nvGraphicFramePr>
        <xdr:cNvPr id="6" name="Diagramă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190440</xdr:colOff>
      <xdr:row>210</xdr:row>
      <xdr:rowOff>27360</xdr:rowOff>
    </xdr:from>
    <xdr:to>
      <xdr:col>1</xdr:col>
      <xdr:colOff>2851920</xdr:colOff>
      <xdr:row>210</xdr:row>
      <xdr:rowOff>84600</xdr:rowOff>
    </xdr:to>
    <xdr:graphicFrame macro="">
      <xdr:nvGraphicFramePr>
        <xdr:cNvPr id="7" name="Diagramă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210</xdr:row>
      <xdr:rowOff>0</xdr:rowOff>
    </xdr:from>
    <xdr:to>
      <xdr:col>3</xdr:col>
      <xdr:colOff>834480</xdr:colOff>
      <xdr:row>210</xdr:row>
      <xdr:rowOff>34920</xdr:rowOff>
    </xdr:to>
    <xdr:graphicFrame macro="">
      <xdr:nvGraphicFramePr>
        <xdr:cNvPr id="8" name="Diagramă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94672394/52946191/Desktop/prioritizare%202018/00%20centralizator%20si%20memo/anexe%20finale%20ministere%20pt%20verificare%20centralizator/metrorex%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94672394/52946191/Desktop/prioritizare%202018/00%20centralizator%20si%20memo/anexe%20finale%20ministere%20pt%20verificare%20centralizator/CNAIR%20anexa%203%20finala%2019%20sept%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94672394/52946191/Desktop/cnair%2020%20sep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94672394/52946191/Desktop/prioritizare%202018/00%20centralizator%20si%20memo/anexe%20finale%20ministere%20pt%20verificare%20centralizator/Anexa%203%20CFR%20-%2005%20sept%202018%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94672394/52946191/Desktop/prioritizare%202018/00%20centralizator%20si%20memo/anexe%20finale%20ministere%20pt%20verificare%20centralizator/2018%20Prioritizare%20anexa%203%20transport%20naval%2006.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exa 3 iunie 2018"/>
      <sheetName val="Anexa 3 iulie 2018"/>
      <sheetName val=" A 2  modif 10 iulie 2018"/>
    </sheetNames>
    <sheetDataSet>
      <sheetData sheetId="0"/>
      <sheetData sheetId="1">
        <row r="11">
          <cell r="I11">
            <v>15812492</v>
          </cell>
          <cell r="M11">
            <v>10083369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 3"/>
    </sheetNames>
    <sheetDataSet>
      <sheetData sheetId="0">
        <row r="100">
          <cell r="F100">
            <v>57.025799999999997</v>
          </cell>
          <cell r="G100">
            <v>49.945301788876399</v>
          </cell>
          <cell r="I100">
            <v>108444423.36453</v>
          </cell>
          <cell r="M100">
            <v>65459951.74453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 PUNCTAJ"/>
      <sheetName val="Sheet1"/>
    </sheetNames>
    <sheetDataSet>
      <sheetData sheetId="0">
        <row r="192">
          <cell r="F192">
            <v>6980.5</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
      <sheetName val="Anexa 3 - 05.09.2018"/>
      <sheetName val="Anexa 3 - 28.04.2016"/>
      <sheetName val="lista modificari"/>
      <sheetName val="Sheet1"/>
    </sheetNames>
    <sheetDataSet>
      <sheetData sheetId="0"/>
      <sheetData sheetId="1">
        <row r="21">
          <cell r="I21">
            <v>37207406</v>
          </cell>
          <cell r="M21">
            <v>22054299.829999998</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 3"/>
    </sheetNames>
    <sheetDataSet>
      <sheetData sheetId="0">
        <row r="17">
          <cell r="I17">
            <v>4554710</v>
          </cell>
          <cell r="M17">
            <v>2865562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49"/>
  <sheetViews>
    <sheetView zoomScale="80" zoomScaleNormal="80" workbookViewId="0">
      <pane ySplit="9" topLeftCell="A165" activePane="bottomLeft" state="frozen"/>
      <selection pane="bottomLeft" activeCell="C168" sqref="C168"/>
    </sheetView>
  </sheetViews>
  <sheetFormatPr defaultColWidth="9.140625" defaultRowHeight="15.75"/>
  <cols>
    <col min="1" max="1" width="6.5703125" style="1" customWidth="1"/>
    <col min="2" max="2" width="57.7109375" style="2" customWidth="1"/>
    <col min="3" max="3" width="15.42578125" style="3" customWidth="1"/>
    <col min="4" max="4" width="22.7109375" style="3" customWidth="1"/>
    <col min="5" max="5" width="16.42578125" style="1" customWidth="1"/>
    <col min="6" max="6" width="15.85546875" style="4" customWidth="1"/>
    <col min="7" max="7" width="20.28515625" style="5" customWidth="1"/>
    <col min="8" max="8" width="15.85546875" style="6" customWidth="1"/>
    <col min="9" max="9" width="18" style="6" customWidth="1"/>
    <col min="10" max="12" width="19" style="7" customWidth="1"/>
    <col min="13" max="13" width="18.140625" style="8" customWidth="1"/>
    <col min="14" max="14" width="34.140625" style="1" customWidth="1"/>
    <col min="15" max="15" width="20.28515625" style="9" customWidth="1"/>
    <col min="16" max="16" width="103.5703125" style="10" customWidth="1"/>
    <col min="17" max="17" width="12.85546875" style="11" customWidth="1"/>
    <col min="18" max="18" width="16" style="11" customWidth="1"/>
    <col min="19" max="19" width="14.28515625" style="11" customWidth="1"/>
    <col min="20" max="20" width="13.85546875" style="11" customWidth="1"/>
    <col min="21" max="21" width="16" style="11" customWidth="1"/>
    <col min="22" max="1024" width="9.140625" style="11"/>
  </cols>
  <sheetData>
    <row r="1" spans="1:72">
      <c r="A1" s="11"/>
      <c r="B1" s="12"/>
      <c r="P1" s="13" t="s">
        <v>0</v>
      </c>
      <c r="Q1" s="14"/>
    </row>
    <row r="2" spans="1:72">
      <c r="A2" s="15"/>
      <c r="B2" s="16"/>
    </row>
    <row r="3" spans="1:72" ht="19.5">
      <c r="A3" s="1226" t="s">
        <v>1</v>
      </c>
      <c r="B3" s="1226"/>
      <c r="C3" s="1226"/>
      <c r="D3" s="1226"/>
      <c r="E3" s="1226"/>
      <c r="F3" s="1226"/>
      <c r="G3" s="1226"/>
      <c r="H3" s="1226"/>
      <c r="I3" s="1226"/>
      <c r="J3" s="1226"/>
      <c r="K3" s="1226"/>
      <c r="L3" s="1226"/>
      <c r="M3" s="1226"/>
      <c r="N3" s="1226"/>
      <c r="O3" s="1226"/>
      <c r="P3" s="1226"/>
    </row>
    <row r="4" spans="1:72" ht="19.5">
      <c r="A4" s="1226" t="s">
        <v>2</v>
      </c>
      <c r="B4" s="1226"/>
      <c r="C4" s="1226"/>
      <c r="D4" s="1226"/>
      <c r="E4" s="1226"/>
      <c r="F4" s="1226"/>
      <c r="G4" s="1226"/>
      <c r="H4" s="1226"/>
      <c r="I4" s="1226"/>
      <c r="J4" s="1226"/>
      <c r="K4" s="1226"/>
      <c r="L4" s="1226"/>
      <c r="M4" s="1226"/>
      <c r="N4" s="1226"/>
      <c r="O4" s="1226"/>
      <c r="P4" s="1226"/>
    </row>
    <row r="5" spans="1:72">
      <c r="A5" s="15"/>
      <c r="B5" s="16"/>
    </row>
    <row r="6" spans="1:72">
      <c r="A6" s="15"/>
      <c r="B6" s="16"/>
      <c r="F6" s="17"/>
      <c r="L6" s="18"/>
      <c r="P6" s="19"/>
    </row>
    <row r="7" spans="1:72" s="20" customFormat="1" ht="44.25" customHeight="1">
      <c r="A7" s="1227" t="s">
        <v>3</v>
      </c>
      <c r="B7" s="1228" t="s">
        <v>4</v>
      </c>
      <c r="C7" s="1229" t="s">
        <v>5</v>
      </c>
      <c r="D7" s="1229" t="s">
        <v>6</v>
      </c>
      <c r="E7" s="1229" t="s">
        <v>7</v>
      </c>
      <c r="F7" s="1230" t="s">
        <v>8</v>
      </c>
      <c r="G7" s="1231" t="s">
        <v>9</v>
      </c>
      <c r="H7" s="1232" t="s">
        <v>10</v>
      </c>
      <c r="I7" s="1232" t="s">
        <v>11</v>
      </c>
      <c r="J7" s="1231" t="s">
        <v>12</v>
      </c>
      <c r="K7" s="1231" t="s">
        <v>13</v>
      </c>
      <c r="L7" s="1231" t="s">
        <v>14</v>
      </c>
      <c r="M7" s="1231" t="s">
        <v>15</v>
      </c>
      <c r="N7" s="1229" t="s">
        <v>16</v>
      </c>
      <c r="O7" s="1223" t="s">
        <v>17</v>
      </c>
      <c r="P7" s="1223"/>
    </row>
    <row r="8" spans="1:72" s="23" customFormat="1" ht="78" customHeight="1">
      <c r="A8" s="1227"/>
      <c r="B8" s="1228"/>
      <c r="C8" s="1229"/>
      <c r="D8" s="1229"/>
      <c r="E8" s="1229"/>
      <c r="F8" s="1230"/>
      <c r="G8" s="1231"/>
      <c r="H8" s="1232"/>
      <c r="I8" s="1232"/>
      <c r="J8" s="1231"/>
      <c r="K8" s="1231"/>
      <c r="L8" s="1231"/>
      <c r="M8" s="1231"/>
      <c r="N8" s="1229"/>
      <c r="O8" s="21" t="s">
        <v>18</v>
      </c>
      <c r="P8" s="22" t="s">
        <v>19</v>
      </c>
    </row>
    <row r="9" spans="1:72" s="12" customFormat="1">
      <c r="A9" s="24">
        <v>0</v>
      </c>
      <c r="B9" s="25">
        <v>1</v>
      </c>
      <c r="C9" s="26">
        <v>2</v>
      </c>
      <c r="D9" s="26">
        <v>3</v>
      </c>
      <c r="E9" s="26">
        <v>4</v>
      </c>
      <c r="F9" s="27">
        <v>5</v>
      </c>
      <c r="G9" s="28">
        <v>6</v>
      </c>
      <c r="H9" s="27">
        <v>7</v>
      </c>
      <c r="I9" s="27">
        <v>8</v>
      </c>
      <c r="J9" s="27">
        <v>9</v>
      </c>
      <c r="K9" s="27">
        <v>10</v>
      </c>
      <c r="L9" s="27">
        <v>11</v>
      </c>
      <c r="M9" s="28">
        <v>12</v>
      </c>
      <c r="N9" s="27">
        <v>13</v>
      </c>
      <c r="O9" s="29">
        <v>14</v>
      </c>
      <c r="P9" s="30">
        <v>15</v>
      </c>
    </row>
    <row r="10" spans="1:72" s="43" customFormat="1" ht="77.25" customHeight="1">
      <c r="A10" s="31">
        <v>1</v>
      </c>
      <c r="B10" s="32" t="s">
        <v>20</v>
      </c>
      <c r="C10" s="33" t="s">
        <v>21</v>
      </c>
      <c r="D10" s="33" t="s">
        <v>22</v>
      </c>
      <c r="E10" s="34" t="s">
        <v>23</v>
      </c>
      <c r="F10" s="35">
        <v>1185</v>
      </c>
      <c r="G10" s="36">
        <f>106</f>
        <v>106</v>
      </c>
      <c r="H10" s="37">
        <v>0.33</v>
      </c>
      <c r="I10" s="37">
        <f t="shared" ref="I10:I21" si="0">K10/J10</f>
        <v>0.19028721041022775</v>
      </c>
      <c r="J10" s="38">
        <v>3805642</v>
      </c>
      <c r="K10" s="39">
        <f>368898+355267</f>
        <v>724165</v>
      </c>
      <c r="L10" s="38">
        <v>227399</v>
      </c>
      <c r="M10" s="40">
        <f t="shared" ref="M10:M41" si="1">J10-K10-L10</f>
        <v>2854078</v>
      </c>
      <c r="N10" s="33" t="s">
        <v>24</v>
      </c>
      <c r="O10" s="41">
        <f>573891887/4.9</f>
        <v>117120793.26530612</v>
      </c>
      <c r="P10" s="42" t="s">
        <v>25</v>
      </c>
    </row>
    <row r="11" spans="1:72" s="48" customFormat="1" ht="65.25" customHeight="1">
      <c r="A11" s="44">
        <f t="shared" ref="A11:A42" si="2">A10+1</f>
        <v>2</v>
      </c>
      <c r="B11" s="44" t="s">
        <v>26</v>
      </c>
      <c r="C11" s="44" t="s">
        <v>27</v>
      </c>
      <c r="D11" s="44" t="s">
        <v>28</v>
      </c>
      <c r="E11" s="44" t="s">
        <v>29</v>
      </c>
      <c r="F11" s="44" t="s">
        <v>30</v>
      </c>
      <c r="G11" s="36">
        <v>95</v>
      </c>
      <c r="H11" s="37">
        <v>0</v>
      </c>
      <c r="I11" s="37">
        <f t="shared" si="0"/>
        <v>1.4199991961343866E-3</v>
      </c>
      <c r="J11" s="38">
        <v>2040142</v>
      </c>
      <c r="K11" s="45">
        <v>2897</v>
      </c>
      <c r="L11" s="44">
        <v>0</v>
      </c>
      <c r="M11" s="40">
        <f t="shared" si="1"/>
        <v>2037245</v>
      </c>
      <c r="N11" s="33" t="s">
        <v>24</v>
      </c>
      <c r="O11" s="46">
        <f>2895144/4.9</f>
        <v>590845.7142857142</v>
      </c>
      <c r="P11" s="46" t="s">
        <v>31</v>
      </c>
      <c r="Q11" s="47"/>
      <c r="R11" s="47"/>
    </row>
    <row r="12" spans="1:72" s="58" customFormat="1" ht="39.75" customHeight="1">
      <c r="A12" s="44">
        <f t="shared" si="2"/>
        <v>3</v>
      </c>
      <c r="B12" s="49" t="s">
        <v>32</v>
      </c>
      <c r="C12" s="50" t="s">
        <v>21</v>
      </c>
      <c r="D12" s="50" t="s">
        <v>33</v>
      </c>
      <c r="E12" s="51" t="s">
        <v>23</v>
      </c>
      <c r="F12" s="51">
        <v>1484</v>
      </c>
      <c r="G12" s="52">
        <v>93</v>
      </c>
      <c r="H12" s="53">
        <v>0</v>
      </c>
      <c r="I12" s="37">
        <f t="shared" si="0"/>
        <v>1.20885791960303E-3</v>
      </c>
      <c r="J12" s="54">
        <v>189435</v>
      </c>
      <c r="K12" s="55">
        <v>229</v>
      </c>
      <c r="L12" s="55">
        <v>10000</v>
      </c>
      <c r="M12" s="39">
        <f t="shared" si="1"/>
        <v>179206</v>
      </c>
      <c r="N12" s="51">
        <v>2025</v>
      </c>
      <c r="O12" s="39">
        <f>14107640/4.9</f>
        <v>2879110.2040816327</v>
      </c>
      <c r="P12" s="39" t="s">
        <v>25</v>
      </c>
      <c r="Q12" s="39"/>
      <c r="R12" s="50"/>
      <c r="S12" s="56"/>
      <c r="T12" s="57"/>
      <c r="U12" s="57">
        <f>K12/I12</f>
        <v>189435</v>
      </c>
      <c r="V12" s="57"/>
      <c r="W12" s="57"/>
      <c r="X12" s="57">
        <f>K12/I12*100</f>
        <v>18943500</v>
      </c>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row>
    <row r="13" spans="1:72" s="68" customFormat="1" ht="59.25" customHeight="1">
      <c r="A13" s="44">
        <f t="shared" si="2"/>
        <v>4</v>
      </c>
      <c r="B13" s="59" t="s">
        <v>34</v>
      </c>
      <c r="C13" s="60" t="s">
        <v>21</v>
      </c>
      <c r="D13" s="60" t="s">
        <v>35</v>
      </c>
      <c r="E13" s="61" t="s">
        <v>23</v>
      </c>
      <c r="F13" s="51">
        <v>1437</v>
      </c>
      <c r="G13" s="62">
        <v>108</v>
      </c>
      <c r="H13" s="63">
        <v>0.114</v>
      </c>
      <c r="I13" s="37">
        <f t="shared" si="0"/>
        <v>6.8358700290585439E-2</v>
      </c>
      <c r="J13" s="54">
        <v>246055</v>
      </c>
      <c r="K13" s="64">
        <v>16820</v>
      </c>
      <c r="L13" s="64">
        <v>163000</v>
      </c>
      <c r="M13" s="64">
        <f t="shared" si="1"/>
        <v>66235</v>
      </c>
      <c r="N13" s="61">
        <v>2024</v>
      </c>
      <c r="O13" s="64">
        <v>97478272</v>
      </c>
      <c r="P13" s="65" t="s">
        <v>36</v>
      </c>
      <c r="Q13" s="64"/>
      <c r="R13" s="61"/>
      <c r="S13" s="66"/>
      <c r="T13" s="57"/>
      <c r="U13" s="57">
        <f>K13/I13</f>
        <v>246055</v>
      </c>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67"/>
    </row>
    <row r="14" spans="1:72" s="43" customFormat="1" ht="77.25" customHeight="1">
      <c r="A14" s="44">
        <f t="shared" si="2"/>
        <v>5</v>
      </c>
      <c r="B14" s="32" t="s">
        <v>37</v>
      </c>
      <c r="C14" s="33" t="s">
        <v>38</v>
      </c>
      <c r="D14" s="33" t="s">
        <v>38</v>
      </c>
      <c r="E14" s="34" t="s">
        <v>23</v>
      </c>
      <c r="F14" s="35">
        <v>474</v>
      </c>
      <c r="G14" s="36">
        <v>106</v>
      </c>
      <c r="H14" s="37">
        <v>0.60340000000000005</v>
      </c>
      <c r="I14" s="37">
        <f t="shared" si="0"/>
        <v>0.3886725035231976</v>
      </c>
      <c r="J14" s="40">
        <v>270351</v>
      </c>
      <c r="K14" s="40">
        <v>105078</v>
      </c>
      <c r="L14" s="40">
        <f>124010</f>
        <v>124010</v>
      </c>
      <c r="M14" s="40">
        <f t="shared" si="1"/>
        <v>41263</v>
      </c>
      <c r="N14" s="33" t="s">
        <v>39</v>
      </c>
      <c r="O14" s="69">
        <v>31784664</v>
      </c>
      <c r="P14" s="70"/>
    </row>
    <row r="15" spans="1:72" s="43" customFormat="1" ht="77.25" customHeight="1">
      <c r="A15" s="44">
        <f t="shared" si="2"/>
        <v>6</v>
      </c>
      <c r="B15" s="71" t="s">
        <v>40</v>
      </c>
      <c r="C15" s="72" t="s">
        <v>41</v>
      </c>
      <c r="D15" s="73" t="s">
        <v>42</v>
      </c>
      <c r="E15" s="72" t="s">
        <v>23</v>
      </c>
      <c r="F15" s="72">
        <v>1368</v>
      </c>
      <c r="G15" s="74">
        <v>108</v>
      </c>
      <c r="H15" s="75">
        <v>0.20100000000000001</v>
      </c>
      <c r="I15" s="37">
        <f t="shared" si="0"/>
        <v>1.4742068008628446E-3</v>
      </c>
      <c r="J15" s="76">
        <v>184506</v>
      </c>
      <c r="K15" s="76">
        <f>217+55</f>
        <v>272</v>
      </c>
      <c r="L15" s="76">
        <v>73449</v>
      </c>
      <c r="M15" s="40">
        <f t="shared" si="1"/>
        <v>110785</v>
      </c>
      <c r="N15" s="73" t="s">
        <v>43</v>
      </c>
      <c r="O15" s="77">
        <f>48706300/4.9</f>
        <v>9940061.224489795</v>
      </c>
      <c r="P15" s="78" t="s">
        <v>44</v>
      </c>
    </row>
    <row r="16" spans="1:72" s="99" customFormat="1" ht="77.25" customHeight="1">
      <c r="A16" s="44">
        <f t="shared" si="2"/>
        <v>7</v>
      </c>
      <c r="B16" s="79" t="s">
        <v>45</v>
      </c>
      <c r="C16" s="80" t="s">
        <v>41</v>
      </c>
      <c r="D16" s="81" t="s">
        <v>46</v>
      </c>
      <c r="E16" s="82" t="s">
        <v>29</v>
      </c>
      <c r="F16" s="80">
        <v>22966</v>
      </c>
      <c r="G16" s="74">
        <v>95</v>
      </c>
      <c r="H16" s="83">
        <v>0</v>
      </c>
      <c r="I16" s="84">
        <f t="shared" si="0"/>
        <v>0</v>
      </c>
      <c r="J16" s="85">
        <v>229595</v>
      </c>
      <c r="K16" s="86">
        <v>0</v>
      </c>
      <c r="L16" s="87">
        <v>229595</v>
      </c>
      <c r="M16" s="88">
        <f t="shared" si="1"/>
        <v>0</v>
      </c>
      <c r="N16" s="89">
        <v>2023</v>
      </c>
      <c r="O16" s="90">
        <v>2006437</v>
      </c>
      <c r="P16" s="91"/>
      <c r="Q16" s="92"/>
      <c r="R16" s="93"/>
      <c r="S16" s="93"/>
      <c r="T16" s="93"/>
      <c r="U16" s="94"/>
      <c r="V16" s="95"/>
      <c r="W16" s="96"/>
      <c r="X16" s="97"/>
      <c r="Y16" s="97"/>
      <c r="Z16" s="98"/>
    </row>
    <row r="17" spans="1:33" s="114" customFormat="1" ht="77.25" customHeight="1">
      <c r="A17" s="44">
        <f t="shared" si="2"/>
        <v>8</v>
      </c>
      <c r="B17" s="100" t="s">
        <v>47</v>
      </c>
      <c r="C17" s="72" t="s">
        <v>41</v>
      </c>
      <c r="D17" s="73" t="s">
        <v>42</v>
      </c>
      <c r="E17" s="89" t="s">
        <v>29</v>
      </c>
      <c r="F17" s="72">
        <v>21965</v>
      </c>
      <c r="G17" s="74">
        <v>95</v>
      </c>
      <c r="H17" s="75">
        <v>0.1012</v>
      </c>
      <c r="I17" s="37">
        <f t="shared" si="0"/>
        <v>5.7858286834234062E-3</v>
      </c>
      <c r="J17" s="101">
        <v>136741</v>
      </c>
      <c r="K17" s="86">
        <f>791.16</f>
        <v>791.16</v>
      </c>
      <c r="L17" s="102">
        <v>135950</v>
      </c>
      <c r="M17" s="103">
        <f t="shared" si="1"/>
        <v>-0.16000000000349246</v>
      </c>
      <c r="N17" s="104">
        <v>2023</v>
      </c>
      <c r="O17" s="105">
        <v>44049828</v>
      </c>
      <c r="P17" s="106"/>
      <c r="Q17" s="107">
        <f>I17-K17-L17</f>
        <v>-136741.15421417131</v>
      </c>
      <c r="R17" s="108">
        <v>0</v>
      </c>
      <c r="S17" s="108">
        <v>0</v>
      </c>
      <c r="T17" s="108">
        <v>0</v>
      </c>
      <c r="U17" s="109">
        <f>Q17-R17-S17-T17</f>
        <v>-136741.15421417131</v>
      </c>
      <c r="V17" s="110" t="s">
        <v>43</v>
      </c>
      <c r="W17" s="111"/>
      <c r="X17" s="112"/>
      <c r="Y17" s="112"/>
      <c r="Z17" s="113"/>
    </row>
    <row r="18" spans="1:33" s="43" customFormat="1" ht="77.25" customHeight="1">
      <c r="A18" s="44">
        <f t="shared" si="2"/>
        <v>9</v>
      </c>
      <c r="B18" s="32" t="s">
        <v>48</v>
      </c>
      <c r="C18" s="33" t="s">
        <v>21</v>
      </c>
      <c r="D18" s="33" t="s">
        <v>22</v>
      </c>
      <c r="E18" s="34" t="s">
        <v>23</v>
      </c>
      <c r="F18" s="35">
        <v>1280</v>
      </c>
      <c r="G18" s="36">
        <v>73</v>
      </c>
      <c r="H18" s="37">
        <v>0</v>
      </c>
      <c r="I18" s="37">
        <f t="shared" si="0"/>
        <v>6.5347209530912734E-3</v>
      </c>
      <c r="J18" s="40">
        <v>202457</v>
      </c>
      <c r="K18" s="115">
        <f>1075+248</f>
        <v>1323</v>
      </c>
      <c r="L18" s="40">
        <v>343</v>
      </c>
      <c r="M18" s="40">
        <f t="shared" si="1"/>
        <v>200791</v>
      </c>
      <c r="N18" s="33" t="s">
        <v>24</v>
      </c>
      <c r="O18" s="40">
        <f>65764297/4.9</f>
        <v>13421285.102040816</v>
      </c>
      <c r="P18" s="42" t="s">
        <v>49</v>
      </c>
    </row>
    <row r="19" spans="1:33" s="118" customFormat="1" ht="77.25" customHeight="1">
      <c r="A19" s="44">
        <f t="shared" si="2"/>
        <v>10</v>
      </c>
      <c r="B19" s="116" t="s">
        <v>50</v>
      </c>
      <c r="C19" s="34" t="s">
        <v>41</v>
      </c>
      <c r="D19" s="73" t="s">
        <v>51</v>
      </c>
      <c r="E19" s="80" t="s">
        <v>23</v>
      </c>
      <c r="F19" s="117">
        <v>11177</v>
      </c>
      <c r="G19" s="74">
        <v>85</v>
      </c>
      <c r="H19" s="75">
        <v>0</v>
      </c>
      <c r="I19" s="84">
        <f t="shared" si="0"/>
        <v>3.2770510645284876E-3</v>
      </c>
      <c r="J19" s="40">
        <v>146168</v>
      </c>
      <c r="K19" s="40">
        <f>479</f>
        <v>479</v>
      </c>
      <c r="L19" s="40">
        <v>110913</v>
      </c>
      <c r="M19" s="40">
        <f t="shared" si="1"/>
        <v>34776</v>
      </c>
      <c r="N19" s="73" t="s">
        <v>52</v>
      </c>
      <c r="O19" s="77">
        <v>47377743</v>
      </c>
      <c r="P19" s="78"/>
    </row>
    <row r="20" spans="1:33" s="118" customFormat="1" ht="77.25" customHeight="1">
      <c r="A20" s="44">
        <f t="shared" si="2"/>
        <v>11</v>
      </c>
      <c r="B20" s="119" t="s">
        <v>53</v>
      </c>
      <c r="C20" s="120" t="s">
        <v>41</v>
      </c>
      <c r="D20" s="121" t="s">
        <v>54</v>
      </c>
      <c r="E20" s="121" t="s">
        <v>23</v>
      </c>
      <c r="F20" s="122">
        <v>1304</v>
      </c>
      <c r="G20" s="74">
        <v>113</v>
      </c>
      <c r="H20" s="123">
        <v>0.45</v>
      </c>
      <c r="I20" s="124">
        <f t="shared" si="0"/>
        <v>0.33372179037370392</v>
      </c>
      <c r="J20" s="76">
        <v>241983</v>
      </c>
      <c r="K20" s="125">
        <f>39675+41080</f>
        <v>80755</v>
      </c>
      <c r="L20" s="125">
        <v>71297</v>
      </c>
      <c r="M20" s="76">
        <f t="shared" si="1"/>
        <v>89931</v>
      </c>
      <c r="N20" s="126" t="s">
        <v>55</v>
      </c>
      <c r="O20" s="127">
        <f>40947732</f>
        <v>40947732</v>
      </c>
      <c r="P20" s="128"/>
    </row>
    <row r="21" spans="1:33" s="118" customFormat="1" ht="150" customHeight="1">
      <c r="A21" s="44">
        <f t="shared" si="2"/>
        <v>12</v>
      </c>
      <c r="B21" s="129" t="s">
        <v>56</v>
      </c>
      <c r="C21" s="130" t="s">
        <v>57</v>
      </c>
      <c r="D21" s="130" t="s">
        <v>57</v>
      </c>
      <c r="E21" s="130" t="s">
        <v>23</v>
      </c>
      <c r="F21" s="131">
        <v>1031</v>
      </c>
      <c r="G21" s="36">
        <v>94</v>
      </c>
      <c r="H21" s="124">
        <v>0.90700000000000003</v>
      </c>
      <c r="I21" s="124">
        <f t="shared" si="0"/>
        <v>0.91838867321096218</v>
      </c>
      <c r="J21" s="132">
        <v>1739734</v>
      </c>
      <c r="K21" s="132">
        <v>1597752</v>
      </c>
      <c r="L21" s="132">
        <v>80892</v>
      </c>
      <c r="M21" s="125">
        <f t="shared" si="1"/>
        <v>61090</v>
      </c>
      <c r="N21" s="122">
        <v>2026</v>
      </c>
      <c r="O21" s="133">
        <f>117113838/4.9</f>
        <v>23900783.265306119</v>
      </c>
      <c r="P21" s="134" t="s">
        <v>58</v>
      </c>
    </row>
    <row r="22" spans="1:33" s="145" customFormat="1" ht="107.25" customHeight="1">
      <c r="A22" s="44">
        <f t="shared" si="2"/>
        <v>13</v>
      </c>
      <c r="B22" s="135" t="s">
        <v>59</v>
      </c>
      <c r="C22" s="136" t="s">
        <v>60</v>
      </c>
      <c r="D22" s="137" t="s">
        <v>61</v>
      </c>
      <c r="E22" s="138" t="s">
        <v>29</v>
      </c>
      <c r="F22" s="139">
        <v>1416</v>
      </c>
      <c r="G22" s="36">
        <v>98</v>
      </c>
      <c r="H22" s="140">
        <v>0</v>
      </c>
      <c r="I22" s="141">
        <v>2.0899999999999998E-2</v>
      </c>
      <c r="J22" s="142">
        <v>250782</v>
      </c>
      <c r="K22" s="142">
        <v>5236</v>
      </c>
      <c r="L22" s="142">
        <v>0</v>
      </c>
      <c r="M22" s="142">
        <f t="shared" si="1"/>
        <v>245546</v>
      </c>
      <c r="N22" s="136" t="s">
        <v>52</v>
      </c>
      <c r="O22" s="143">
        <v>33299000000</v>
      </c>
      <c r="P22" s="144" t="s">
        <v>62</v>
      </c>
    </row>
    <row r="23" spans="1:33" s="145" customFormat="1" ht="94.5" customHeight="1">
      <c r="A23" s="44">
        <f t="shared" si="2"/>
        <v>14</v>
      </c>
      <c r="B23" s="135" t="s">
        <v>63</v>
      </c>
      <c r="C23" s="146" t="s">
        <v>60</v>
      </c>
      <c r="D23" s="137" t="s">
        <v>64</v>
      </c>
      <c r="E23" s="138" t="s">
        <v>29</v>
      </c>
      <c r="F23" s="139">
        <v>1435</v>
      </c>
      <c r="G23" s="74">
        <v>98</v>
      </c>
      <c r="H23" s="140">
        <v>0</v>
      </c>
      <c r="I23" s="141">
        <v>9.9000000000000008E-3</v>
      </c>
      <c r="J23" s="142">
        <v>371213</v>
      </c>
      <c r="K23" s="142">
        <v>3673</v>
      </c>
      <c r="L23" s="142">
        <v>0</v>
      </c>
      <c r="M23" s="142">
        <f t="shared" si="1"/>
        <v>367540</v>
      </c>
      <c r="N23" s="137" t="s">
        <v>52</v>
      </c>
      <c r="O23" s="147">
        <v>15188000000</v>
      </c>
      <c r="P23" s="144" t="s">
        <v>62</v>
      </c>
    </row>
    <row r="24" spans="1:33" s="145" customFormat="1" ht="77.25" customHeight="1">
      <c r="A24" s="44">
        <f t="shared" si="2"/>
        <v>15</v>
      </c>
      <c r="B24" s="135" t="s">
        <v>65</v>
      </c>
      <c r="C24" s="136" t="s">
        <v>60</v>
      </c>
      <c r="D24" s="138" t="s">
        <v>60</v>
      </c>
      <c r="E24" s="138" t="s">
        <v>23</v>
      </c>
      <c r="F24" s="139">
        <v>1315</v>
      </c>
      <c r="G24" s="74">
        <v>98</v>
      </c>
      <c r="H24" s="140">
        <v>0</v>
      </c>
      <c r="I24" s="141">
        <v>0</v>
      </c>
      <c r="J24" s="142">
        <v>2850508</v>
      </c>
      <c r="K24" s="142">
        <v>0</v>
      </c>
      <c r="L24" s="142">
        <v>20810</v>
      </c>
      <c r="M24" s="142">
        <f t="shared" si="1"/>
        <v>2829698</v>
      </c>
      <c r="N24" s="137" t="s">
        <v>66</v>
      </c>
      <c r="O24" s="147">
        <f>2359281000</f>
        <v>2359281000</v>
      </c>
      <c r="P24" s="144" t="s">
        <v>67</v>
      </c>
    </row>
    <row r="25" spans="1:33" s="145" customFormat="1" ht="77.25" customHeight="1">
      <c r="A25" s="44">
        <f t="shared" si="2"/>
        <v>16</v>
      </c>
      <c r="B25" s="135" t="s">
        <v>68</v>
      </c>
      <c r="C25" s="136" t="s">
        <v>60</v>
      </c>
      <c r="D25" s="138" t="s">
        <v>60</v>
      </c>
      <c r="E25" s="138" t="s">
        <v>23</v>
      </c>
      <c r="F25" s="139">
        <v>1313</v>
      </c>
      <c r="G25" s="74">
        <v>98</v>
      </c>
      <c r="H25" s="140">
        <v>0</v>
      </c>
      <c r="I25" s="141">
        <v>0</v>
      </c>
      <c r="J25" s="142">
        <v>2568751</v>
      </c>
      <c r="K25" s="142">
        <v>0</v>
      </c>
      <c r="L25" s="142">
        <v>21810</v>
      </c>
      <c r="M25" s="142">
        <f t="shared" si="1"/>
        <v>2546941</v>
      </c>
      <c r="N25" s="137" t="s">
        <v>66</v>
      </c>
      <c r="O25" s="147">
        <f>2211885000</f>
        <v>2211885000</v>
      </c>
      <c r="P25" s="148" t="s">
        <v>69</v>
      </c>
    </row>
    <row r="26" spans="1:33" s="145" customFormat="1" ht="77.25" customHeight="1">
      <c r="A26" s="44">
        <f t="shared" si="2"/>
        <v>17</v>
      </c>
      <c r="B26" s="149" t="s">
        <v>70</v>
      </c>
      <c r="C26" s="137" t="s">
        <v>60</v>
      </c>
      <c r="D26" s="137" t="s">
        <v>60</v>
      </c>
      <c r="E26" s="150" t="s">
        <v>23</v>
      </c>
      <c r="F26" s="150">
        <v>1314</v>
      </c>
      <c r="G26" s="151">
        <v>98</v>
      </c>
      <c r="H26" s="141">
        <v>0</v>
      </c>
      <c r="I26" s="141">
        <v>0</v>
      </c>
      <c r="J26" s="142">
        <v>2382970</v>
      </c>
      <c r="K26" s="142">
        <v>0</v>
      </c>
      <c r="L26" s="142">
        <v>21810</v>
      </c>
      <c r="M26" s="142">
        <f t="shared" si="1"/>
        <v>2361160</v>
      </c>
      <c r="N26" s="139">
        <v>2027</v>
      </c>
      <c r="O26" s="147">
        <v>2143122000</v>
      </c>
      <c r="P26" s="148" t="s">
        <v>71</v>
      </c>
    </row>
    <row r="27" spans="1:33" s="118" customFormat="1" ht="77.25" customHeight="1">
      <c r="A27" s="44">
        <f t="shared" si="2"/>
        <v>18</v>
      </c>
      <c r="B27" s="152" t="s">
        <v>72</v>
      </c>
      <c r="C27" s="153" t="s">
        <v>41</v>
      </c>
      <c r="D27" s="154" t="s">
        <v>54</v>
      </c>
      <c r="E27" s="80" t="s">
        <v>23</v>
      </c>
      <c r="F27" s="122">
        <v>1425</v>
      </c>
      <c r="G27" s="74">
        <v>104</v>
      </c>
      <c r="H27" s="123">
        <v>0</v>
      </c>
      <c r="I27" s="124">
        <f t="shared" ref="I27:I48" si="3">K27/J27</f>
        <v>4.4044044044044044E-2</v>
      </c>
      <c r="J27" s="76">
        <v>245754</v>
      </c>
      <c r="K27" s="125">
        <f>10824</f>
        <v>10824</v>
      </c>
      <c r="L27" s="76">
        <v>0</v>
      </c>
      <c r="M27" s="76">
        <f t="shared" si="1"/>
        <v>234930</v>
      </c>
      <c r="N27" s="155" t="s">
        <v>52</v>
      </c>
      <c r="O27" s="127">
        <v>1121421133</v>
      </c>
      <c r="P27" s="128"/>
    </row>
    <row r="28" spans="1:33" s="170" customFormat="1" ht="75" customHeight="1">
      <c r="A28" s="44">
        <f t="shared" si="2"/>
        <v>19</v>
      </c>
      <c r="B28" s="156" t="s">
        <v>73</v>
      </c>
      <c r="C28" s="153" t="s">
        <v>41</v>
      </c>
      <c r="D28" s="154" t="s">
        <v>54</v>
      </c>
      <c r="E28" s="80" t="s">
        <v>23</v>
      </c>
      <c r="F28" s="157">
        <v>1446</v>
      </c>
      <c r="G28" s="158">
        <v>99</v>
      </c>
      <c r="H28" s="123">
        <v>0.13250000000000001</v>
      </c>
      <c r="I28" s="124">
        <f t="shared" si="3"/>
        <v>6.8318901016544281E-3</v>
      </c>
      <c r="J28" s="125">
        <v>7264022</v>
      </c>
      <c r="K28" s="159">
        <f>9423+40204</f>
        <v>49627</v>
      </c>
      <c r="L28" s="160">
        <v>461503</v>
      </c>
      <c r="M28" s="125">
        <f t="shared" si="1"/>
        <v>6752892</v>
      </c>
      <c r="N28" s="155" t="s">
        <v>74</v>
      </c>
      <c r="O28" s="127">
        <f>292.66*1000</f>
        <v>292660</v>
      </c>
      <c r="P28" s="161">
        <v>523853</v>
      </c>
      <c r="Q28" s="160">
        <f t="shared" ref="Q28:Q44" si="4">I28-K28-L28</f>
        <v>-511129.99316810991</v>
      </c>
      <c r="R28" s="159"/>
      <c r="S28" s="159">
        <v>268306</v>
      </c>
      <c r="T28" s="159"/>
      <c r="U28" s="159">
        <f t="shared" ref="U28:U44" si="5">Q28-R28-S28-T28</f>
        <v>-779435.99316810991</v>
      </c>
      <c r="V28" s="162"/>
      <c r="W28" s="163" t="s">
        <v>75</v>
      </c>
      <c r="X28" s="164">
        <v>7322558</v>
      </c>
      <c r="Y28" s="165"/>
      <c r="Z28" s="166"/>
      <c r="AA28" s="121" t="s">
        <v>76</v>
      </c>
      <c r="AB28" s="121" t="s">
        <v>77</v>
      </c>
      <c r="AC28" s="167"/>
      <c r="AD28" s="168"/>
      <c r="AE28" s="169"/>
      <c r="AF28" s="169"/>
      <c r="AG28" s="167"/>
    </row>
    <row r="29" spans="1:33" s="170" customFormat="1" ht="75" customHeight="1">
      <c r="A29" s="44">
        <f t="shared" si="2"/>
        <v>20</v>
      </c>
      <c r="B29" s="156" t="s">
        <v>78</v>
      </c>
      <c r="C29" s="153" t="s">
        <v>41</v>
      </c>
      <c r="D29" s="154" t="s">
        <v>54</v>
      </c>
      <c r="E29" s="80" t="s">
        <v>23</v>
      </c>
      <c r="F29" s="157">
        <v>1447</v>
      </c>
      <c r="G29" s="158">
        <v>97</v>
      </c>
      <c r="H29" s="123">
        <v>0</v>
      </c>
      <c r="I29" s="124">
        <f t="shared" si="3"/>
        <v>5.14816044029577E-3</v>
      </c>
      <c r="J29" s="76">
        <v>7442270</v>
      </c>
      <c r="K29" s="94">
        <f>38314</f>
        <v>38314</v>
      </c>
      <c r="L29" s="92">
        <v>523853</v>
      </c>
      <c r="M29" s="76">
        <f t="shared" si="1"/>
        <v>6880103</v>
      </c>
      <c r="N29" s="155" t="s">
        <v>74</v>
      </c>
      <c r="O29" s="127">
        <v>735534</v>
      </c>
      <c r="P29" s="161">
        <v>523853</v>
      </c>
      <c r="Q29" s="160">
        <f t="shared" si="4"/>
        <v>-562166.99485183961</v>
      </c>
      <c r="R29" s="159"/>
      <c r="S29" s="159">
        <v>268306</v>
      </c>
      <c r="T29" s="159"/>
      <c r="U29" s="159">
        <f t="shared" si="5"/>
        <v>-830472.99485183961</v>
      </c>
      <c r="V29" s="162"/>
      <c r="W29" s="163" t="s">
        <v>75</v>
      </c>
      <c r="X29" s="164">
        <v>7322558</v>
      </c>
      <c r="Y29" s="165"/>
      <c r="Z29" s="166"/>
      <c r="AA29" s="121" t="s">
        <v>76</v>
      </c>
      <c r="AB29" s="121" t="s">
        <v>77</v>
      </c>
      <c r="AC29" s="167"/>
      <c r="AD29" s="168"/>
      <c r="AE29" s="169"/>
      <c r="AF29" s="169"/>
      <c r="AG29" s="167"/>
    </row>
    <row r="30" spans="1:33" s="170" customFormat="1" ht="75" customHeight="1">
      <c r="A30" s="44">
        <f t="shared" si="2"/>
        <v>21</v>
      </c>
      <c r="B30" s="156" t="s">
        <v>79</v>
      </c>
      <c r="C30" s="153" t="s">
        <v>41</v>
      </c>
      <c r="D30" s="154" t="s">
        <v>54</v>
      </c>
      <c r="E30" s="80" t="s">
        <v>23</v>
      </c>
      <c r="F30" s="157">
        <v>1471</v>
      </c>
      <c r="G30" s="158">
        <v>97</v>
      </c>
      <c r="H30" s="123">
        <v>0</v>
      </c>
      <c r="I30" s="124">
        <f t="shared" si="3"/>
        <v>3.2874412171981357E-3</v>
      </c>
      <c r="J30" s="76">
        <v>10510302</v>
      </c>
      <c r="K30" s="94">
        <f>34552</f>
        <v>34552</v>
      </c>
      <c r="L30" s="92">
        <v>450000</v>
      </c>
      <c r="M30" s="76">
        <f t="shared" si="1"/>
        <v>10025750</v>
      </c>
      <c r="N30" s="155" t="s">
        <v>24</v>
      </c>
      <c r="O30" s="127">
        <f>982.78*1000</f>
        <v>982780</v>
      </c>
      <c r="P30" s="161">
        <v>0</v>
      </c>
      <c r="Q30" s="160">
        <f t="shared" si="4"/>
        <v>-484551.99671255879</v>
      </c>
      <c r="R30" s="159"/>
      <c r="S30" s="159"/>
      <c r="T30" s="159">
        <v>8620596</v>
      </c>
      <c r="U30" s="159">
        <f t="shared" si="5"/>
        <v>-9105147.996712558</v>
      </c>
      <c r="V30" s="162"/>
      <c r="W30" s="121">
        <v>2026</v>
      </c>
      <c r="X30" s="164">
        <v>10443559</v>
      </c>
      <c r="Y30" s="165"/>
      <c r="Z30" s="166"/>
      <c r="AA30" s="121" t="s">
        <v>76</v>
      </c>
      <c r="AB30" s="121" t="s">
        <v>77</v>
      </c>
      <c r="AC30" s="167"/>
      <c r="AD30" s="168"/>
      <c r="AE30" s="169"/>
      <c r="AF30" s="169"/>
      <c r="AG30" s="167"/>
    </row>
    <row r="31" spans="1:33" s="170" customFormat="1" ht="75" customHeight="1">
      <c r="A31" s="44">
        <f t="shared" si="2"/>
        <v>22</v>
      </c>
      <c r="B31" s="156" t="s">
        <v>80</v>
      </c>
      <c r="C31" s="153" t="s">
        <v>41</v>
      </c>
      <c r="D31" s="154" t="s">
        <v>54</v>
      </c>
      <c r="E31" s="80" t="s">
        <v>23</v>
      </c>
      <c r="F31" s="157">
        <v>1487</v>
      </c>
      <c r="G31" s="158">
        <v>100</v>
      </c>
      <c r="H31" s="123">
        <v>0</v>
      </c>
      <c r="I31" s="124">
        <f t="shared" si="3"/>
        <v>0</v>
      </c>
      <c r="J31" s="76">
        <v>8397758</v>
      </c>
      <c r="K31" s="159">
        <f>0</f>
        <v>0</v>
      </c>
      <c r="L31" s="160">
        <v>19909</v>
      </c>
      <c r="M31" s="76">
        <f t="shared" si="1"/>
        <v>8377849</v>
      </c>
      <c r="N31" s="155" t="s">
        <v>74</v>
      </c>
      <c r="O31" s="127">
        <f>1313.32*1000</f>
        <v>1313320</v>
      </c>
      <c r="P31" s="171"/>
      <c r="Q31" s="160">
        <f t="shared" si="4"/>
        <v>-19909</v>
      </c>
      <c r="R31" s="172">
        <v>1781697</v>
      </c>
      <c r="S31" s="172">
        <v>2713986</v>
      </c>
      <c r="T31" s="172">
        <v>3823359</v>
      </c>
      <c r="U31" s="159">
        <f t="shared" si="5"/>
        <v>-8338951</v>
      </c>
      <c r="V31" s="162"/>
      <c r="W31" s="121">
        <v>2025</v>
      </c>
      <c r="X31" s="164">
        <v>8398758</v>
      </c>
      <c r="Y31" s="165"/>
      <c r="Z31" s="166"/>
      <c r="AA31" s="121" t="s">
        <v>81</v>
      </c>
      <c r="AB31" s="121" t="s">
        <v>77</v>
      </c>
      <c r="AC31" s="167"/>
      <c r="AD31" s="168"/>
      <c r="AE31" s="169"/>
      <c r="AF31" s="169"/>
      <c r="AG31" s="167"/>
    </row>
    <row r="32" spans="1:33" s="170" customFormat="1" ht="75" customHeight="1">
      <c r="A32" s="44">
        <f t="shared" si="2"/>
        <v>23</v>
      </c>
      <c r="B32" s="156" t="s">
        <v>82</v>
      </c>
      <c r="C32" s="153" t="s">
        <v>41</v>
      </c>
      <c r="D32" s="154" t="s">
        <v>54</v>
      </c>
      <c r="E32" s="121" t="s">
        <v>29</v>
      </c>
      <c r="F32" s="157">
        <v>1467</v>
      </c>
      <c r="G32" s="158">
        <v>97</v>
      </c>
      <c r="H32" s="123">
        <v>0</v>
      </c>
      <c r="I32" s="124">
        <f t="shared" si="3"/>
        <v>2.0347698428092756E-3</v>
      </c>
      <c r="J32" s="125">
        <v>788787</v>
      </c>
      <c r="K32" s="94">
        <f>1605</f>
        <v>1605</v>
      </c>
      <c r="L32" s="92">
        <f>0</f>
        <v>0</v>
      </c>
      <c r="M32" s="76">
        <f t="shared" si="1"/>
        <v>787182</v>
      </c>
      <c r="N32" s="155" t="s">
        <v>52</v>
      </c>
      <c r="O32" s="127">
        <v>1267439772</v>
      </c>
      <c r="P32" s="171"/>
      <c r="Q32" s="160">
        <f t="shared" si="4"/>
        <v>-1604.9979652301572</v>
      </c>
      <c r="R32" s="159">
        <v>157815</v>
      </c>
      <c r="S32" s="159">
        <v>390525</v>
      </c>
      <c r="T32" s="159"/>
      <c r="U32" s="159">
        <f t="shared" si="5"/>
        <v>-549944.99796523014</v>
      </c>
      <c r="V32" s="162"/>
      <c r="W32" s="121">
        <v>2024</v>
      </c>
      <c r="X32" s="164">
        <v>788787</v>
      </c>
      <c r="Y32" s="165"/>
      <c r="Z32" s="166"/>
      <c r="AA32" s="121" t="s">
        <v>81</v>
      </c>
      <c r="AB32" s="121" t="s">
        <v>77</v>
      </c>
      <c r="AC32" s="167"/>
      <c r="AD32" s="168"/>
      <c r="AE32" s="169"/>
      <c r="AF32" s="169"/>
      <c r="AG32" s="167"/>
    </row>
    <row r="33" spans="1:246" s="170" customFormat="1" ht="75" customHeight="1">
      <c r="A33" s="44">
        <f t="shared" si="2"/>
        <v>24</v>
      </c>
      <c r="B33" s="156" t="s">
        <v>83</v>
      </c>
      <c r="C33" s="153" t="s">
        <v>41</v>
      </c>
      <c r="D33" s="154" t="s">
        <v>54</v>
      </c>
      <c r="E33" s="80" t="s">
        <v>23</v>
      </c>
      <c r="F33" s="157">
        <v>1429</v>
      </c>
      <c r="G33" s="158">
        <v>104</v>
      </c>
      <c r="H33" s="173">
        <v>0.55000000000000004</v>
      </c>
      <c r="I33" s="124">
        <f t="shared" si="3"/>
        <v>4.7969190851606232E-2</v>
      </c>
      <c r="J33" s="76">
        <v>220454</v>
      </c>
      <c r="K33" s="159">
        <f>10575</f>
        <v>10575</v>
      </c>
      <c r="L33" s="160">
        <v>441</v>
      </c>
      <c r="M33" s="76">
        <f t="shared" si="1"/>
        <v>209438</v>
      </c>
      <c r="N33" s="174">
        <v>2024</v>
      </c>
      <c r="O33" s="175">
        <f>136158159/4.9</f>
        <v>27787379.3877551</v>
      </c>
      <c r="P33" s="171"/>
      <c r="Q33" s="160">
        <f t="shared" si="4"/>
        <v>-11015.952030809149</v>
      </c>
      <c r="R33" s="159"/>
      <c r="S33" s="159"/>
      <c r="T33" s="159"/>
      <c r="U33" s="159">
        <f t="shared" si="5"/>
        <v>-11015.952030809149</v>
      </c>
      <c r="V33" s="162"/>
      <c r="W33" s="121">
        <v>2023</v>
      </c>
      <c r="X33" s="164">
        <v>13069</v>
      </c>
      <c r="Y33" s="165"/>
      <c r="Z33" s="166"/>
      <c r="AA33" s="121" t="s">
        <v>84</v>
      </c>
      <c r="AB33" s="121" t="s">
        <v>77</v>
      </c>
      <c r="AC33" s="167"/>
      <c r="AD33" s="168"/>
      <c r="AE33" s="169"/>
      <c r="AF33" s="169"/>
      <c r="AG33" s="167"/>
    </row>
    <row r="34" spans="1:246" s="170" customFormat="1" ht="75" customHeight="1">
      <c r="A34" s="44">
        <f t="shared" si="2"/>
        <v>25</v>
      </c>
      <c r="B34" s="156" t="s">
        <v>85</v>
      </c>
      <c r="C34" s="153" t="s">
        <v>41</v>
      </c>
      <c r="D34" s="154" t="s">
        <v>54</v>
      </c>
      <c r="E34" s="80" t="s">
        <v>23</v>
      </c>
      <c r="F34" s="157">
        <v>1495</v>
      </c>
      <c r="G34" s="158">
        <v>99</v>
      </c>
      <c r="H34" s="123">
        <v>0</v>
      </c>
      <c r="I34" s="124">
        <f t="shared" si="3"/>
        <v>3.3757134960218133E-3</v>
      </c>
      <c r="J34" s="125">
        <v>644012</v>
      </c>
      <c r="K34" s="159">
        <f>689+1485</f>
        <v>2174</v>
      </c>
      <c r="L34" s="160">
        <v>8581</v>
      </c>
      <c r="M34" s="125">
        <f t="shared" si="1"/>
        <v>633257</v>
      </c>
      <c r="N34" s="176">
        <v>2026</v>
      </c>
      <c r="O34" s="175">
        <v>177318</v>
      </c>
      <c r="P34" s="171"/>
      <c r="Q34" s="160">
        <f t="shared" si="4"/>
        <v>-10754.996624286505</v>
      </c>
      <c r="R34" s="159"/>
      <c r="S34" s="159"/>
      <c r="T34" s="159"/>
      <c r="U34" s="159">
        <f t="shared" si="5"/>
        <v>-10754.996624286505</v>
      </c>
      <c r="V34" s="162"/>
      <c r="W34" s="121">
        <v>2026</v>
      </c>
      <c r="X34" s="164">
        <v>644012</v>
      </c>
      <c r="Y34" s="165"/>
      <c r="Z34" s="166"/>
      <c r="AA34" s="121" t="s">
        <v>81</v>
      </c>
      <c r="AB34" s="121" t="s">
        <v>77</v>
      </c>
      <c r="AC34" s="167"/>
      <c r="AD34" s="168"/>
      <c r="AE34" s="169"/>
      <c r="AF34" s="169"/>
      <c r="AG34" s="167"/>
    </row>
    <row r="35" spans="1:246" s="192" customFormat="1" ht="52.5" customHeight="1">
      <c r="A35" s="44">
        <f t="shared" si="2"/>
        <v>26</v>
      </c>
      <c r="B35" s="156" t="s">
        <v>86</v>
      </c>
      <c r="C35" s="177" t="s">
        <v>41</v>
      </c>
      <c r="D35" s="178" t="s">
        <v>54</v>
      </c>
      <c r="E35" s="179" t="s">
        <v>29</v>
      </c>
      <c r="F35" s="180">
        <v>1486</v>
      </c>
      <c r="G35" s="158">
        <v>96</v>
      </c>
      <c r="H35" s="75">
        <v>0</v>
      </c>
      <c r="I35" s="37">
        <f t="shared" si="3"/>
        <v>0</v>
      </c>
      <c r="J35" s="40">
        <v>655602</v>
      </c>
      <c r="K35" s="181">
        <f>0</f>
        <v>0</v>
      </c>
      <c r="L35" s="182">
        <v>6200</v>
      </c>
      <c r="M35" s="40">
        <f t="shared" si="1"/>
        <v>649402</v>
      </c>
      <c r="N35" s="104">
        <v>2024</v>
      </c>
      <c r="O35" s="183">
        <f>568924836.58/4.9</f>
        <v>116107109.50612246</v>
      </c>
      <c r="P35" s="184"/>
      <c r="Q35" s="182">
        <f t="shared" si="4"/>
        <v>-6200</v>
      </c>
      <c r="R35" s="181">
        <v>223445</v>
      </c>
      <c r="S35" s="181">
        <v>425957</v>
      </c>
      <c r="T35" s="181">
        <v>0</v>
      </c>
      <c r="U35" s="181">
        <f t="shared" si="5"/>
        <v>-655602</v>
      </c>
      <c r="V35" s="185"/>
      <c r="W35" s="72">
        <v>2024</v>
      </c>
      <c r="X35" s="186">
        <v>655602</v>
      </c>
      <c r="Y35" s="187"/>
      <c r="Z35" s="188"/>
      <c r="AA35" s="72" t="s">
        <v>81</v>
      </c>
      <c r="AB35" s="72" t="s">
        <v>77</v>
      </c>
      <c r="AC35" s="189" t="e">
        <f>SUM(#REF!)</f>
        <v>#REF!</v>
      </c>
      <c r="AD35" s="190" t="e">
        <f>SUM(#REF!)</f>
        <v>#REF!</v>
      </c>
      <c r="AE35" s="191"/>
      <c r="AF35" s="191"/>
      <c r="AG35" s="189"/>
    </row>
    <row r="36" spans="1:246" s="170" customFormat="1" ht="52.5" customHeight="1">
      <c r="A36" s="44">
        <f t="shared" si="2"/>
        <v>27</v>
      </c>
      <c r="B36" s="156" t="s">
        <v>87</v>
      </c>
      <c r="C36" s="153" t="s">
        <v>41</v>
      </c>
      <c r="D36" s="154" t="s">
        <v>54</v>
      </c>
      <c r="E36" s="193" t="s">
        <v>29</v>
      </c>
      <c r="F36" s="157">
        <v>1507</v>
      </c>
      <c r="G36" s="158">
        <v>98</v>
      </c>
      <c r="H36" s="123">
        <v>0</v>
      </c>
      <c r="I36" s="124">
        <f t="shared" si="3"/>
        <v>0</v>
      </c>
      <c r="J36" s="76">
        <v>1087359</v>
      </c>
      <c r="K36" s="159">
        <v>0</v>
      </c>
      <c r="L36" s="92">
        <v>8355</v>
      </c>
      <c r="M36" s="76">
        <f t="shared" si="1"/>
        <v>1079004</v>
      </c>
      <c r="N36" s="194"/>
      <c r="O36" s="195">
        <v>19049000</v>
      </c>
      <c r="P36" s="171"/>
      <c r="Q36" s="160">
        <f t="shared" si="4"/>
        <v>-8355</v>
      </c>
      <c r="R36" s="159"/>
      <c r="S36" s="159"/>
      <c r="T36" s="159">
        <v>0</v>
      </c>
      <c r="U36" s="159">
        <f t="shared" si="5"/>
        <v>-8355</v>
      </c>
      <c r="V36" s="162"/>
      <c r="W36" s="196"/>
      <c r="X36" s="164"/>
      <c r="Y36" s="165"/>
      <c r="Z36" s="166"/>
      <c r="AA36" s="121" t="s">
        <v>81</v>
      </c>
      <c r="AB36" s="121" t="s">
        <v>77</v>
      </c>
      <c r="AC36" s="167" t="e">
        <f>SUM(#REF!)</f>
        <v>#REF!</v>
      </c>
      <c r="AD36" s="168" t="e">
        <f>SUM(#REF!)</f>
        <v>#REF!</v>
      </c>
      <c r="AE36" s="169"/>
      <c r="AF36" s="169"/>
      <c r="AG36" s="167"/>
    </row>
    <row r="37" spans="1:246" s="170" customFormat="1" ht="75" customHeight="1">
      <c r="A37" s="44">
        <f t="shared" si="2"/>
        <v>28</v>
      </c>
      <c r="B37" s="156" t="s">
        <v>88</v>
      </c>
      <c r="C37" s="177" t="s">
        <v>41</v>
      </c>
      <c r="D37" s="178" t="s">
        <v>54</v>
      </c>
      <c r="E37" s="179" t="s">
        <v>29</v>
      </c>
      <c r="F37" s="197" t="s">
        <v>89</v>
      </c>
      <c r="G37" s="158">
        <v>93</v>
      </c>
      <c r="H37" s="75">
        <v>0</v>
      </c>
      <c r="I37" s="37">
        <f t="shared" si="3"/>
        <v>0</v>
      </c>
      <c r="J37" s="40">
        <v>3640924</v>
      </c>
      <c r="K37" s="181">
        <v>0</v>
      </c>
      <c r="L37" s="182">
        <v>0</v>
      </c>
      <c r="M37" s="181">
        <f t="shared" si="1"/>
        <v>3640924</v>
      </c>
      <c r="N37" s="198"/>
      <c r="O37" s="195" t="s">
        <v>90</v>
      </c>
      <c r="P37" s="171"/>
      <c r="Q37" s="160">
        <f t="shared" si="4"/>
        <v>0</v>
      </c>
      <c r="R37" s="159"/>
      <c r="S37" s="159"/>
      <c r="T37" s="159"/>
      <c r="U37" s="159">
        <f t="shared" si="5"/>
        <v>0</v>
      </c>
      <c r="V37" s="162"/>
      <c r="W37" s="196"/>
      <c r="X37" s="164"/>
      <c r="Y37" s="165"/>
      <c r="Z37" s="166"/>
      <c r="AA37" s="121" t="s">
        <v>76</v>
      </c>
      <c r="AB37" s="121" t="s">
        <v>77</v>
      </c>
      <c r="AC37" s="167"/>
      <c r="AD37" s="168"/>
      <c r="AE37" s="169"/>
      <c r="AF37" s="169"/>
      <c r="AG37" s="167"/>
    </row>
    <row r="38" spans="1:246" s="170" customFormat="1" ht="75" customHeight="1">
      <c r="A38" s="44">
        <f t="shared" si="2"/>
        <v>29</v>
      </c>
      <c r="B38" s="156" t="s">
        <v>91</v>
      </c>
      <c r="C38" s="177" t="s">
        <v>41</v>
      </c>
      <c r="D38" s="178" t="s">
        <v>54</v>
      </c>
      <c r="E38" s="179" t="s">
        <v>29</v>
      </c>
      <c r="F38" s="104" t="s">
        <v>92</v>
      </c>
      <c r="G38" s="158">
        <v>93</v>
      </c>
      <c r="H38" s="75">
        <v>0</v>
      </c>
      <c r="I38" s="37">
        <f t="shared" si="3"/>
        <v>0</v>
      </c>
      <c r="J38" s="40">
        <v>2519721</v>
      </c>
      <c r="K38" s="181">
        <v>0</v>
      </c>
      <c r="L38" s="182">
        <v>0</v>
      </c>
      <c r="M38" s="181">
        <f t="shared" si="1"/>
        <v>2519721</v>
      </c>
      <c r="N38" s="198"/>
      <c r="O38" s="195">
        <v>393637264</v>
      </c>
      <c r="P38" s="171"/>
      <c r="Q38" s="160">
        <f t="shared" si="4"/>
        <v>0</v>
      </c>
      <c r="R38" s="159"/>
      <c r="S38" s="159"/>
      <c r="T38" s="159"/>
      <c r="U38" s="159">
        <f t="shared" si="5"/>
        <v>0</v>
      </c>
      <c r="V38" s="162"/>
      <c r="W38" s="196"/>
      <c r="X38" s="164"/>
      <c r="Y38" s="165"/>
      <c r="Z38" s="166"/>
      <c r="AA38" s="121" t="s">
        <v>76</v>
      </c>
      <c r="AB38" s="121" t="s">
        <v>77</v>
      </c>
      <c r="AC38" s="167"/>
      <c r="AD38" s="168"/>
      <c r="AE38" s="169"/>
      <c r="AF38" s="169"/>
      <c r="AG38" s="167"/>
    </row>
    <row r="39" spans="1:246" s="170" customFormat="1" ht="75" customHeight="1">
      <c r="A39" s="44">
        <f t="shared" si="2"/>
        <v>30</v>
      </c>
      <c r="B39" s="156" t="s">
        <v>93</v>
      </c>
      <c r="C39" s="177" t="s">
        <v>41</v>
      </c>
      <c r="D39" s="178" t="s">
        <v>54</v>
      </c>
      <c r="E39" s="179" t="s">
        <v>29</v>
      </c>
      <c r="F39" s="104" t="s">
        <v>92</v>
      </c>
      <c r="G39" s="158">
        <v>98</v>
      </c>
      <c r="H39" s="75">
        <v>0</v>
      </c>
      <c r="I39" s="37">
        <f t="shared" si="3"/>
        <v>0</v>
      </c>
      <c r="J39" s="40">
        <v>838287</v>
      </c>
      <c r="K39" s="181">
        <v>0</v>
      </c>
      <c r="L39" s="182">
        <v>0</v>
      </c>
      <c r="M39" s="181">
        <f t="shared" si="1"/>
        <v>838287</v>
      </c>
      <c r="N39" s="198"/>
      <c r="O39" s="195">
        <f>32334*1000</f>
        <v>32334000</v>
      </c>
      <c r="P39" s="171"/>
      <c r="Q39" s="160">
        <f t="shared" si="4"/>
        <v>0</v>
      </c>
      <c r="R39" s="159"/>
      <c r="S39" s="159"/>
      <c r="T39" s="159"/>
      <c r="U39" s="159">
        <f t="shared" si="5"/>
        <v>0</v>
      </c>
      <c r="V39" s="162"/>
      <c r="W39" s="196"/>
      <c r="X39" s="164"/>
      <c r="Y39" s="165"/>
      <c r="Z39" s="166"/>
      <c r="AA39" s="121" t="s">
        <v>81</v>
      </c>
      <c r="AB39" s="121" t="s">
        <v>77</v>
      </c>
      <c r="AC39" s="167"/>
      <c r="AD39" s="168"/>
      <c r="AE39" s="169"/>
      <c r="AF39" s="169"/>
      <c r="AG39" s="167"/>
    </row>
    <row r="40" spans="1:246" s="170" customFormat="1" ht="75" customHeight="1">
      <c r="A40" s="44">
        <f t="shared" si="2"/>
        <v>31</v>
      </c>
      <c r="B40" s="156" t="s">
        <v>94</v>
      </c>
      <c r="C40" s="177" t="s">
        <v>41</v>
      </c>
      <c r="D40" s="178" t="s">
        <v>54</v>
      </c>
      <c r="E40" s="179" t="s">
        <v>29</v>
      </c>
      <c r="F40" s="104" t="s">
        <v>92</v>
      </c>
      <c r="G40" s="158">
        <v>98</v>
      </c>
      <c r="H40" s="75">
        <v>0</v>
      </c>
      <c r="I40" s="37">
        <f t="shared" si="3"/>
        <v>0</v>
      </c>
      <c r="J40" s="40">
        <v>341383</v>
      </c>
      <c r="K40" s="181">
        <v>0</v>
      </c>
      <c r="L40" s="182">
        <v>0</v>
      </c>
      <c r="M40" s="181">
        <f t="shared" si="1"/>
        <v>341383</v>
      </c>
      <c r="N40" s="198"/>
      <c r="O40" s="175">
        <f>14238*1000</f>
        <v>14238000</v>
      </c>
      <c r="P40" s="171"/>
      <c r="Q40" s="160">
        <f t="shared" si="4"/>
        <v>0</v>
      </c>
      <c r="R40" s="159"/>
      <c r="S40" s="159"/>
      <c r="T40" s="159"/>
      <c r="U40" s="159">
        <f t="shared" si="5"/>
        <v>0</v>
      </c>
      <c r="V40" s="162"/>
      <c r="W40" s="196"/>
      <c r="X40" s="164"/>
      <c r="Y40" s="165"/>
      <c r="Z40" s="166"/>
      <c r="AA40" s="121" t="s">
        <v>81</v>
      </c>
      <c r="AB40" s="121" t="s">
        <v>77</v>
      </c>
      <c r="AC40" s="167"/>
      <c r="AD40" s="168"/>
      <c r="AE40" s="169"/>
      <c r="AF40" s="169"/>
      <c r="AG40" s="167"/>
    </row>
    <row r="41" spans="1:246" s="170" customFormat="1" ht="75" customHeight="1">
      <c r="A41" s="44">
        <f t="shared" si="2"/>
        <v>32</v>
      </c>
      <c r="B41" s="156" t="s">
        <v>95</v>
      </c>
      <c r="C41" s="177" t="s">
        <v>41</v>
      </c>
      <c r="D41" s="178" t="s">
        <v>54</v>
      </c>
      <c r="E41" s="179" t="s">
        <v>29</v>
      </c>
      <c r="F41" s="104" t="s">
        <v>92</v>
      </c>
      <c r="G41" s="158">
        <v>92</v>
      </c>
      <c r="H41" s="75">
        <v>0</v>
      </c>
      <c r="I41" s="37">
        <f t="shared" si="3"/>
        <v>0</v>
      </c>
      <c r="J41" s="40">
        <v>6974055</v>
      </c>
      <c r="K41" s="181">
        <v>0</v>
      </c>
      <c r="L41" s="182">
        <v>0</v>
      </c>
      <c r="M41" s="181">
        <f t="shared" si="1"/>
        <v>6974055</v>
      </c>
      <c r="N41" s="198"/>
      <c r="O41" s="175">
        <v>5017733.03</v>
      </c>
      <c r="P41" s="171"/>
      <c r="Q41" s="160">
        <f t="shared" si="4"/>
        <v>0</v>
      </c>
      <c r="R41" s="159"/>
      <c r="S41" s="159"/>
      <c r="T41" s="159"/>
      <c r="U41" s="159">
        <f t="shared" si="5"/>
        <v>0</v>
      </c>
      <c r="V41" s="162"/>
      <c r="W41" s="196"/>
      <c r="X41" s="164"/>
      <c r="Y41" s="165"/>
      <c r="Z41" s="166"/>
      <c r="AA41" s="121" t="s">
        <v>81</v>
      </c>
      <c r="AB41" s="121" t="s">
        <v>77</v>
      </c>
      <c r="AC41" s="167"/>
      <c r="AD41" s="168"/>
      <c r="AE41" s="169"/>
      <c r="AF41" s="169"/>
      <c r="AG41" s="167"/>
    </row>
    <row r="42" spans="1:246" s="192" customFormat="1" ht="75" customHeight="1">
      <c r="A42" s="44">
        <f t="shared" si="2"/>
        <v>33</v>
      </c>
      <c r="B42" s="156" t="s">
        <v>96</v>
      </c>
      <c r="C42" s="177" t="s">
        <v>41</v>
      </c>
      <c r="D42" s="178" t="s">
        <v>54</v>
      </c>
      <c r="E42" s="179" t="s">
        <v>29</v>
      </c>
      <c r="F42" s="104" t="s">
        <v>92</v>
      </c>
      <c r="G42" s="158">
        <v>98</v>
      </c>
      <c r="H42" s="75">
        <v>0</v>
      </c>
      <c r="I42" s="37">
        <f t="shared" si="3"/>
        <v>0</v>
      </c>
      <c r="J42" s="199">
        <v>198215</v>
      </c>
      <c r="K42" s="181">
        <v>0</v>
      </c>
      <c r="L42" s="182">
        <v>79200</v>
      </c>
      <c r="M42" s="181">
        <f t="shared" ref="M42:M73" si="6">J42-K42-L42</f>
        <v>119015</v>
      </c>
      <c r="N42" s="104">
        <v>2025</v>
      </c>
      <c r="O42" s="105">
        <v>66779652.329999998</v>
      </c>
      <c r="P42" s="184"/>
      <c r="Q42" s="182">
        <f t="shared" si="4"/>
        <v>-79200</v>
      </c>
      <c r="R42" s="181">
        <v>119015</v>
      </c>
      <c r="S42" s="181">
        <v>0</v>
      </c>
      <c r="T42" s="181">
        <v>0</v>
      </c>
      <c r="U42" s="181">
        <f t="shared" si="5"/>
        <v>-198215</v>
      </c>
      <c r="V42" s="185"/>
      <c r="W42" s="72">
        <v>2025</v>
      </c>
      <c r="X42" s="186"/>
      <c r="Y42" s="187"/>
      <c r="Z42" s="188"/>
      <c r="AA42" s="72" t="s">
        <v>97</v>
      </c>
      <c r="AB42" s="72" t="s">
        <v>77</v>
      </c>
      <c r="AC42" s="189"/>
      <c r="AD42" s="190"/>
      <c r="AE42" s="191"/>
      <c r="AF42" s="191"/>
      <c r="AG42" s="189"/>
    </row>
    <row r="43" spans="1:246" s="192" customFormat="1" ht="75" customHeight="1">
      <c r="A43" s="44">
        <f t="shared" ref="A43:A74" si="7">A42+1</f>
        <v>34</v>
      </c>
      <c r="B43" s="200" t="s">
        <v>98</v>
      </c>
      <c r="C43" s="177" t="s">
        <v>41</v>
      </c>
      <c r="D43" s="178" t="s">
        <v>54</v>
      </c>
      <c r="E43" s="179" t="s">
        <v>29</v>
      </c>
      <c r="F43" s="35">
        <v>1466</v>
      </c>
      <c r="G43" s="158">
        <v>98</v>
      </c>
      <c r="H43" s="75">
        <v>0</v>
      </c>
      <c r="I43" s="37">
        <f t="shared" si="3"/>
        <v>0</v>
      </c>
      <c r="J43" s="201">
        <v>132493</v>
      </c>
      <c r="K43" s="202">
        <v>0</v>
      </c>
      <c r="L43" s="203">
        <v>158</v>
      </c>
      <c r="M43" s="181">
        <f t="shared" si="6"/>
        <v>132335</v>
      </c>
      <c r="N43" s="104">
        <v>2025</v>
      </c>
      <c r="O43" s="183">
        <f>8621632/4.9</f>
        <v>1759516.7346938774</v>
      </c>
      <c r="P43" s="184"/>
      <c r="Q43" s="182">
        <f t="shared" si="4"/>
        <v>-158</v>
      </c>
      <c r="R43" s="181"/>
      <c r="S43" s="181"/>
      <c r="T43" s="181"/>
      <c r="U43" s="181">
        <f t="shared" si="5"/>
        <v>-158</v>
      </c>
      <c r="V43" s="185"/>
      <c r="W43" s="204">
        <v>2025</v>
      </c>
      <c r="X43" s="186"/>
      <c r="Y43" s="187"/>
      <c r="Z43" s="188"/>
      <c r="AA43" s="72"/>
      <c r="AB43" s="72"/>
      <c r="AC43" s="189"/>
      <c r="AD43" s="190"/>
      <c r="AE43" s="191"/>
      <c r="AF43" s="191"/>
      <c r="AG43" s="189"/>
    </row>
    <row r="44" spans="1:246" s="192" customFormat="1" ht="75" customHeight="1">
      <c r="A44" s="44">
        <f t="shared" si="7"/>
        <v>35</v>
      </c>
      <c r="B44" s="200" t="s">
        <v>99</v>
      </c>
      <c r="C44" s="177" t="s">
        <v>41</v>
      </c>
      <c r="D44" s="178" t="s">
        <v>54</v>
      </c>
      <c r="E44" s="179" t="s">
        <v>29</v>
      </c>
      <c r="F44" s="35">
        <v>1513</v>
      </c>
      <c r="G44" s="158">
        <v>98</v>
      </c>
      <c r="H44" s="75">
        <v>0</v>
      </c>
      <c r="I44" s="37">
        <f t="shared" si="3"/>
        <v>0</v>
      </c>
      <c r="J44" s="201">
        <v>110948</v>
      </c>
      <c r="K44" s="202">
        <v>0</v>
      </c>
      <c r="L44" s="203">
        <v>0</v>
      </c>
      <c r="M44" s="202">
        <f t="shared" si="6"/>
        <v>110948</v>
      </c>
      <c r="N44" s="104">
        <v>2025</v>
      </c>
      <c r="O44" s="183">
        <f>11.17*1000</f>
        <v>11170</v>
      </c>
      <c r="P44" s="184"/>
      <c r="Q44" s="182">
        <f t="shared" si="4"/>
        <v>0</v>
      </c>
      <c r="R44" s="181"/>
      <c r="S44" s="181"/>
      <c r="T44" s="181"/>
      <c r="U44" s="181">
        <f t="shared" si="5"/>
        <v>0</v>
      </c>
      <c r="V44" s="185"/>
      <c r="W44" s="204">
        <v>2025</v>
      </c>
      <c r="X44" s="186"/>
      <c r="Y44" s="187"/>
      <c r="Z44" s="188"/>
      <c r="AA44" s="72"/>
      <c r="AB44" s="72"/>
      <c r="AC44" s="189"/>
      <c r="AD44" s="190"/>
      <c r="AE44" s="191"/>
      <c r="AF44" s="191"/>
      <c r="AG44" s="189"/>
    </row>
    <row r="45" spans="1:246" s="170" customFormat="1" ht="75" customHeight="1">
      <c r="A45" s="44">
        <f t="shared" si="7"/>
        <v>36</v>
      </c>
      <c r="B45" s="205" t="s">
        <v>100</v>
      </c>
      <c r="C45" s="206" t="s">
        <v>41</v>
      </c>
      <c r="D45" s="206" t="s">
        <v>101</v>
      </c>
      <c r="E45" s="207" t="s">
        <v>23</v>
      </c>
      <c r="F45" s="208">
        <v>1489</v>
      </c>
      <c r="G45" s="209">
        <v>101</v>
      </c>
      <c r="H45" s="210">
        <v>0</v>
      </c>
      <c r="I45" s="210">
        <f t="shared" si="3"/>
        <v>4.7979861288281762E-3</v>
      </c>
      <c r="J45" s="211">
        <v>9493358</v>
      </c>
      <c r="K45" s="212">
        <f>45549</f>
        <v>45549</v>
      </c>
      <c r="L45" s="212">
        <v>547710</v>
      </c>
      <c r="M45" s="94">
        <f t="shared" si="6"/>
        <v>8900099</v>
      </c>
      <c r="N45" s="104">
        <v>2026</v>
      </c>
      <c r="O45" s="105">
        <v>329332133</v>
      </c>
      <c r="P45" s="91" t="s">
        <v>102</v>
      </c>
      <c r="Q45" s="160"/>
      <c r="R45" s="213"/>
      <c r="S45" s="213"/>
      <c r="T45" s="213"/>
      <c r="U45" s="159"/>
      <c r="V45" s="214"/>
      <c r="W45" s="215"/>
      <c r="X45" s="169"/>
      <c r="Y45" s="169"/>
      <c r="Z45" s="167"/>
    </row>
    <row r="46" spans="1:246" s="118" customFormat="1" ht="47.25">
      <c r="A46" s="44">
        <f t="shared" si="7"/>
        <v>37</v>
      </c>
      <c r="B46" s="152" t="s">
        <v>103</v>
      </c>
      <c r="C46" s="72" t="s">
        <v>41</v>
      </c>
      <c r="D46" s="73" t="s">
        <v>101</v>
      </c>
      <c r="E46" s="72" t="s">
        <v>23</v>
      </c>
      <c r="F46" s="72">
        <v>1329</v>
      </c>
      <c r="G46" s="74">
        <v>96</v>
      </c>
      <c r="H46" s="75">
        <v>0.67059999999999997</v>
      </c>
      <c r="I46" s="37">
        <f t="shared" si="3"/>
        <v>0.44163574674100675</v>
      </c>
      <c r="J46" s="76">
        <v>655187</v>
      </c>
      <c r="K46" s="40">
        <f>151994+137360</f>
        <v>289354</v>
      </c>
      <c r="L46" s="40">
        <v>0</v>
      </c>
      <c r="M46" s="76">
        <f t="shared" si="6"/>
        <v>365833</v>
      </c>
      <c r="N46" s="73" t="s">
        <v>104</v>
      </c>
      <c r="O46" s="77">
        <f>486180000/4.9</f>
        <v>99220408.163265303</v>
      </c>
      <c r="P46" s="216" t="s">
        <v>105</v>
      </c>
    </row>
    <row r="47" spans="1:246" s="43" customFormat="1" ht="75" customHeight="1">
      <c r="A47" s="44">
        <f t="shared" si="7"/>
        <v>38</v>
      </c>
      <c r="B47" s="152" t="s">
        <v>106</v>
      </c>
      <c r="C47" s="33" t="s">
        <v>107</v>
      </c>
      <c r="D47" s="73" t="s">
        <v>108</v>
      </c>
      <c r="E47" s="72" t="s">
        <v>23</v>
      </c>
      <c r="F47" s="117">
        <v>1107</v>
      </c>
      <c r="G47" s="74">
        <v>94</v>
      </c>
      <c r="H47" s="75">
        <v>0.43</v>
      </c>
      <c r="I47" s="37">
        <f t="shared" si="3"/>
        <v>0.27525384162096006</v>
      </c>
      <c r="J47" s="40">
        <v>176488</v>
      </c>
      <c r="K47" s="40">
        <v>48579</v>
      </c>
      <c r="L47" s="40">
        <v>63000</v>
      </c>
      <c r="M47" s="40">
        <f t="shared" si="6"/>
        <v>64909</v>
      </c>
      <c r="N47" s="73" t="s">
        <v>52</v>
      </c>
      <c r="O47" s="217">
        <f>176487956.53/4.8</f>
        <v>36768324.277083337</v>
      </c>
      <c r="P47" s="78" t="s">
        <v>109</v>
      </c>
    </row>
    <row r="48" spans="1:246" s="225" customFormat="1" ht="75" customHeight="1">
      <c r="A48" s="44">
        <f t="shared" si="7"/>
        <v>39</v>
      </c>
      <c r="B48" s="218" t="s">
        <v>110</v>
      </c>
      <c r="C48" s="33" t="s">
        <v>107</v>
      </c>
      <c r="D48" s="219" t="s">
        <v>111</v>
      </c>
      <c r="E48" s="220" t="s">
        <v>23</v>
      </c>
      <c r="F48" s="220">
        <v>1107</v>
      </c>
      <c r="G48" s="74">
        <v>88</v>
      </c>
      <c r="H48" s="75">
        <v>7.0000000000000007E-2</v>
      </c>
      <c r="I48" s="37">
        <f t="shared" si="3"/>
        <v>3.5451988659007325E-2</v>
      </c>
      <c r="J48" s="221">
        <v>175646</v>
      </c>
      <c r="K48" s="221">
        <v>6227</v>
      </c>
      <c r="L48" s="40">
        <v>26000</v>
      </c>
      <c r="M48" s="40">
        <f t="shared" si="6"/>
        <v>143419</v>
      </c>
      <c r="N48" s="73" t="s">
        <v>74</v>
      </c>
      <c r="O48" s="217">
        <v>118280000</v>
      </c>
      <c r="P48" s="221" t="s">
        <v>109</v>
      </c>
      <c r="Q48" s="221">
        <v>3451.54</v>
      </c>
      <c r="R48" s="221">
        <v>4600</v>
      </c>
      <c r="S48" s="221">
        <v>21400</v>
      </c>
      <c r="T48" s="221" t="e">
        <f t="shared" ref="T48:T53" si="8">K48-M48-P48</f>
        <v>#VALUE!</v>
      </c>
      <c r="U48" s="221">
        <v>71842</v>
      </c>
      <c r="V48" s="221" t="e">
        <f>T48-U48</f>
        <v>#VALUE!</v>
      </c>
      <c r="W48" s="221">
        <v>0</v>
      </c>
      <c r="X48" s="221"/>
      <c r="Y48" s="220">
        <v>2025</v>
      </c>
      <c r="Z48" s="222" t="s">
        <v>112</v>
      </c>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3"/>
      <c r="EX48" s="223"/>
      <c r="EY48" s="223"/>
      <c r="EZ48" s="223"/>
      <c r="FA48" s="223"/>
      <c r="FB48" s="223"/>
      <c r="FC48" s="223"/>
      <c r="FD48" s="223"/>
      <c r="FE48" s="223"/>
      <c r="FF48" s="223"/>
      <c r="FG48" s="223"/>
      <c r="FH48" s="223"/>
      <c r="FI48" s="223"/>
      <c r="FJ48" s="223"/>
      <c r="FK48" s="223"/>
      <c r="FL48" s="223"/>
      <c r="FM48" s="223"/>
      <c r="FN48" s="223"/>
      <c r="FO48" s="223"/>
      <c r="FP48" s="223"/>
      <c r="FQ48" s="223"/>
      <c r="FR48" s="223"/>
      <c r="FS48" s="223"/>
      <c r="FT48" s="223"/>
      <c r="FU48" s="223"/>
      <c r="FV48" s="223"/>
      <c r="FW48" s="223"/>
      <c r="FX48" s="223"/>
      <c r="FY48" s="223"/>
      <c r="FZ48" s="223"/>
      <c r="GA48" s="223"/>
      <c r="GB48" s="223"/>
      <c r="GC48" s="223"/>
      <c r="GD48" s="223"/>
      <c r="GE48" s="223"/>
      <c r="GF48" s="223"/>
      <c r="GG48" s="223"/>
      <c r="GH48" s="223"/>
      <c r="GI48" s="223"/>
      <c r="GJ48" s="223"/>
      <c r="GK48" s="223"/>
      <c r="GL48" s="223"/>
      <c r="GM48" s="223"/>
      <c r="GN48" s="223"/>
      <c r="GO48" s="223"/>
      <c r="GP48" s="223"/>
      <c r="GQ48" s="223"/>
      <c r="GR48" s="223"/>
      <c r="GS48" s="223"/>
      <c r="GT48" s="223"/>
      <c r="GU48" s="223"/>
      <c r="GV48" s="223"/>
      <c r="GW48" s="223"/>
      <c r="GX48" s="223"/>
      <c r="GY48" s="223"/>
      <c r="GZ48" s="223"/>
      <c r="HA48" s="223"/>
      <c r="HB48" s="223"/>
      <c r="HC48" s="223"/>
      <c r="HD48" s="223"/>
      <c r="HE48" s="223"/>
      <c r="HF48" s="223"/>
      <c r="HG48" s="223"/>
      <c r="HH48" s="223"/>
      <c r="HI48" s="223"/>
      <c r="HJ48" s="223"/>
      <c r="HK48" s="223"/>
      <c r="HL48" s="223"/>
      <c r="HM48" s="223"/>
      <c r="HN48" s="223"/>
      <c r="HO48" s="223"/>
      <c r="HP48" s="223"/>
      <c r="HQ48" s="223"/>
      <c r="HR48" s="223"/>
      <c r="HS48" s="223"/>
      <c r="HT48" s="223"/>
      <c r="HU48" s="223"/>
      <c r="HV48" s="223"/>
      <c r="HW48" s="223"/>
      <c r="HX48" s="223"/>
      <c r="HY48" s="223"/>
      <c r="HZ48" s="223"/>
      <c r="IA48" s="223"/>
      <c r="IB48" s="223"/>
      <c r="IC48" s="223"/>
      <c r="ID48" s="223"/>
      <c r="IE48" s="223"/>
      <c r="IF48" s="223"/>
      <c r="IG48" s="223"/>
      <c r="IH48" s="223"/>
      <c r="II48" s="223"/>
      <c r="IJ48" s="223"/>
      <c r="IK48" s="223"/>
      <c r="IL48" s="224"/>
    </row>
    <row r="49" spans="1:246" s="225" customFormat="1" ht="75" customHeight="1">
      <c r="A49" s="44">
        <f t="shared" si="7"/>
        <v>40</v>
      </c>
      <c r="B49" s="226" t="s">
        <v>113</v>
      </c>
      <c r="C49" s="33" t="s">
        <v>107</v>
      </c>
      <c r="D49" s="219" t="s">
        <v>114</v>
      </c>
      <c r="E49" s="219" t="s">
        <v>29</v>
      </c>
      <c r="F49" s="219">
        <v>1108</v>
      </c>
      <c r="G49" s="74">
        <v>82</v>
      </c>
      <c r="H49" s="75">
        <v>0</v>
      </c>
      <c r="I49" s="37">
        <v>0</v>
      </c>
      <c r="J49" s="227">
        <v>198298</v>
      </c>
      <c r="K49" s="227">
        <v>0</v>
      </c>
      <c r="L49" s="40">
        <v>10000</v>
      </c>
      <c r="M49" s="40">
        <f t="shared" si="6"/>
        <v>188298</v>
      </c>
      <c r="N49" s="73" t="s">
        <v>74</v>
      </c>
      <c r="O49" s="217">
        <v>1963628068.6199999</v>
      </c>
      <c r="P49" s="227" t="s">
        <v>115</v>
      </c>
      <c r="Q49" s="227"/>
      <c r="R49" s="227">
        <v>10000</v>
      </c>
      <c r="S49" s="227">
        <v>0</v>
      </c>
      <c r="T49" s="221" t="e">
        <f t="shared" si="8"/>
        <v>#VALUE!</v>
      </c>
      <c r="U49" s="221">
        <v>98000</v>
      </c>
      <c r="V49" s="221" t="e">
        <f>T49-U49</f>
        <v>#VALUE!</v>
      </c>
      <c r="W49" s="221" t="e">
        <f>T49-U49-V49</f>
        <v>#VALUE!</v>
      </c>
      <c r="X49" s="221"/>
      <c r="Y49" s="219">
        <v>2025</v>
      </c>
      <c r="Z49" s="222" t="s">
        <v>115</v>
      </c>
      <c r="IL49" s="224"/>
    </row>
    <row r="50" spans="1:246" s="225" customFormat="1" ht="75" customHeight="1">
      <c r="A50" s="44">
        <f t="shared" si="7"/>
        <v>41</v>
      </c>
      <c r="B50" s="228" t="s">
        <v>116</v>
      </c>
      <c r="C50" s="33" t="s">
        <v>107</v>
      </c>
      <c r="D50" s="219" t="s">
        <v>117</v>
      </c>
      <c r="E50" s="219" t="s">
        <v>29</v>
      </c>
      <c r="F50" s="219">
        <v>1108</v>
      </c>
      <c r="G50" s="74">
        <v>78</v>
      </c>
      <c r="H50" s="75">
        <v>0</v>
      </c>
      <c r="I50" s="37">
        <v>0</v>
      </c>
      <c r="J50" s="227">
        <v>110268</v>
      </c>
      <c r="K50" s="227">
        <v>0</v>
      </c>
      <c r="L50" s="40">
        <v>6000</v>
      </c>
      <c r="M50" s="40">
        <f t="shared" si="6"/>
        <v>104268</v>
      </c>
      <c r="N50" s="73" t="s">
        <v>74</v>
      </c>
      <c r="O50" s="227">
        <v>17725678</v>
      </c>
      <c r="P50" s="227" t="s">
        <v>115</v>
      </c>
      <c r="Q50" s="227"/>
      <c r="R50" s="227">
        <v>6000</v>
      </c>
      <c r="S50" s="227">
        <v>0</v>
      </c>
      <c r="T50" s="221" t="e">
        <f t="shared" si="8"/>
        <v>#VALUE!</v>
      </c>
      <c r="U50" s="221">
        <v>60000</v>
      </c>
      <c r="V50" s="221" t="e">
        <f>T50-U50</f>
        <v>#VALUE!</v>
      </c>
      <c r="W50" s="221" t="e">
        <f>T50-U50-V50</f>
        <v>#VALUE!</v>
      </c>
      <c r="X50" s="221"/>
      <c r="Y50" s="219">
        <v>2025</v>
      </c>
      <c r="Z50" s="222" t="s">
        <v>115</v>
      </c>
      <c r="IL50" s="224"/>
    </row>
    <row r="51" spans="1:246" s="225" customFormat="1" ht="75" customHeight="1">
      <c r="A51" s="44">
        <f t="shared" si="7"/>
        <v>42</v>
      </c>
      <c r="B51" s="228" t="s">
        <v>118</v>
      </c>
      <c r="C51" s="33" t="s">
        <v>107</v>
      </c>
      <c r="D51" s="219" t="s">
        <v>119</v>
      </c>
      <c r="E51" s="219" t="s">
        <v>29</v>
      </c>
      <c r="F51" s="219">
        <v>1108</v>
      </c>
      <c r="G51" s="74">
        <v>80</v>
      </c>
      <c r="H51" s="75">
        <v>0</v>
      </c>
      <c r="I51" s="37">
        <v>0</v>
      </c>
      <c r="J51" s="227">
        <v>314731</v>
      </c>
      <c r="K51" s="227">
        <v>0</v>
      </c>
      <c r="L51" s="219">
        <v>12000</v>
      </c>
      <c r="M51" s="227">
        <f t="shared" si="6"/>
        <v>302731</v>
      </c>
      <c r="N51" s="73" t="s">
        <v>24</v>
      </c>
      <c r="O51" s="227">
        <v>118300</v>
      </c>
      <c r="P51" s="227" t="s">
        <v>120</v>
      </c>
      <c r="Q51" s="227"/>
      <c r="R51" s="227">
        <v>12000</v>
      </c>
      <c r="S51" s="227">
        <v>0</v>
      </c>
      <c r="T51" s="221" t="e">
        <f t="shared" si="8"/>
        <v>#VALUE!</v>
      </c>
      <c r="U51" s="221">
        <v>121104</v>
      </c>
      <c r="V51" s="221">
        <v>150000</v>
      </c>
      <c r="W51" s="221" t="e">
        <f>T51-U51-V51</f>
        <v>#VALUE!</v>
      </c>
      <c r="X51" s="221"/>
      <c r="Y51" s="219">
        <v>2026</v>
      </c>
      <c r="Z51" s="222" t="s">
        <v>120</v>
      </c>
      <c r="IL51" s="224"/>
    </row>
    <row r="52" spans="1:246" s="225" customFormat="1" ht="75" customHeight="1">
      <c r="A52" s="44">
        <f t="shared" si="7"/>
        <v>43</v>
      </c>
      <c r="B52" s="228" t="s">
        <v>121</v>
      </c>
      <c r="C52" s="33" t="s">
        <v>107</v>
      </c>
      <c r="D52" s="219" t="s">
        <v>122</v>
      </c>
      <c r="E52" s="219" t="s">
        <v>29</v>
      </c>
      <c r="F52" s="219">
        <v>1108</v>
      </c>
      <c r="G52" s="74">
        <v>80</v>
      </c>
      <c r="H52" s="75">
        <v>0</v>
      </c>
      <c r="I52" s="37">
        <v>0</v>
      </c>
      <c r="J52" s="227">
        <v>480490</v>
      </c>
      <c r="K52" s="227">
        <v>0</v>
      </c>
      <c r="L52" s="40">
        <v>20000</v>
      </c>
      <c r="M52" s="40">
        <f t="shared" si="6"/>
        <v>460490</v>
      </c>
      <c r="N52" s="73" t="s">
        <v>24</v>
      </c>
      <c r="O52" s="217">
        <v>186220937</v>
      </c>
      <c r="P52" s="227" t="s">
        <v>115</v>
      </c>
      <c r="Q52" s="227"/>
      <c r="R52" s="227">
        <v>20000</v>
      </c>
      <c r="S52" s="227">
        <v>0</v>
      </c>
      <c r="T52" s="221" t="e">
        <f t="shared" si="8"/>
        <v>#VALUE!</v>
      </c>
      <c r="U52" s="221">
        <v>220000</v>
      </c>
      <c r="V52" s="221">
        <v>200000</v>
      </c>
      <c r="W52" s="221" t="e">
        <f>T52-U52-V52</f>
        <v>#VALUE!</v>
      </c>
      <c r="X52" s="221"/>
      <c r="Y52" s="219">
        <v>2026</v>
      </c>
      <c r="Z52" s="222" t="s">
        <v>115</v>
      </c>
      <c r="IL52" s="224"/>
    </row>
    <row r="53" spans="1:246" s="225" customFormat="1" ht="125.1" customHeight="1">
      <c r="A53" s="44">
        <f t="shared" si="7"/>
        <v>44</v>
      </c>
      <c r="B53" s="229" t="s">
        <v>123</v>
      </c>
      <c r="C53" s="33" t="s">
        <v>107</v>
      </c>
      <c r="D53" s="219" t="s">
        <v>124</v>
      </c>
      <c r="E53" s="219" t="s">
        <v>29</v>
      </c>
      <c r="F53" s="219">
        <v>1108</v>
      </c>
      <c r="G53" s="74">
        <v>80</v>
      </c>
      <c r="H53" s="75">
        <v>0</v>
      </c>
      <c r="I53" s="37">
        <v>0</v>
      </c>
      <c r="J53" s="227">
        <v>494810</v>
      </c>
      <c r="K53" s="227">
        <v>0</v>
      </c>
      <c r="L53" s="40">
        <v>20000</v>
      </c>
      <c r="M53" s="40">
        <f t="shared" si="6"/>
        <v>474810</v>
      </c>
      <c r="N53" s="73" t="s">
        <v>24</v>
      </c>
      <c r="O53" s="227">
        <v>33717572.299999997</v>
      </c>
      <c r="P53" s="227" t="s">
        <v>120</v>
      </c>
      <c r="Q53" s="227"/>
      <c r="R53" s="227">
        <v>20000</v>
      </c>
      <c r="S53" s="227">
        <v>0</v>
      </c>
      <c r="T53" s="221" t="e">
        <f t="shared" si="8"/>
        <v>#VALUE!</v>
      </c>
      <c r="U53" s="221">
        <v>180000</v>
      </c>
      <c r="V53" s="221">
        <v>150000</v>
      </c>
      <c r="W53" s="221" t="e">
        <f>T53-U53-V53</f>
        <v>#VALUE!</v>
      </c>
      <c r="X53" s="221"/>
      <c r="Y53" s="219">
        <v>2026</v>
      </c>
      <c r="Z53" s="222" t="s">
        <v>120</v>
      </c>
      <c r="IL53" s="224"/>
    </row>
    <row r="54" spans="1:246" s="43" customFormat="1" ht="105.75" customHeight="1">
      <c r="A54" s="44">
        <f t="shared" si="7"/>
        <v>45</v>
      </c>
      <c r="B54" s="116" t="s">
        <v>125</v>
      </c>
      <c r="C54" s="33" t="s">
        <v>107</v>
      </c>
      <c r="D54" s="73" t="s">
        <v>126</v>
      </c>
      <c r="E54" s="72" t="s">
        <v>23</v>
      </c>
      <c r="F54" s="117">
        <v>1107</v>
      </c>
      <c r="G54" s="74">
        <v>86</v>
      </c>
      <c r="H54" s="75">
        <v>0.65</v>
      </c>
      <c r="I54" s="37">
        <f>K54/J54</f>
        <v>0.2137281462980993</v>
      </c>
      <c r="J54" s="40">
        <v>236230</v>
      </c>
      <c r="K54" s="40">
        <v>50489</v>
      </c>
      <c r="L54" s="40">
        <v>61065</v>
      </c>
      <c r="M54" s="40">
        <f t="shared" si="6"/>
        <v>124676</v>
      </c>
      <c r="N54" s="73" t="s">
        <v>52</v>
      </c>
      <c r="O54" s="77">
        <f>115197384.08/4.8</f>
        <v>23999455.016666666</v>
      </c>
      <c r="P54" s="78" t="s">
        <v>109</v>
      </c>
    </row>
    <row r="55" spans="1:246" s="118" customFormat="1" ht="55.5" customHeight="1">
      <c r="A55" s="44">
        <f t="shared" si="7"/>
        <v>46</v>
      </c>
      <c r="B55" s="119" t="s">
        <v>127</v>
      </c>
      <c r="C55" s="120" t="s">
        <v>41</v>
      </c>
      <c r="D55" s="155" t="s">
        <v>54</v>
      </c>
      <c r="E55" s="80" t="s">
        <v>23</v>
      </c>
      <c r="F55" s="122">
        <v>1443</v>
      </c>
      <c r="G55" s="74">
        <v>104</v>
      </c>
      <c r="H55" s="123">
        <v>0</v>
      </c>
      <c r="I55" s="124">
        <v>0</v>
      </c>
      <c r="J55" s="76">
        <v>168726</v>
      </c>
      <c r="K55" s="125">
        <v>0</v>
      </c>
      <c r="L55" s="125">
        <v>990</v>
      </c>
      <c r="M55" s="76">
        <f t="shared" si="6"/>
        <v>167736</v>
      </c>
      <c r="N55" s="230">
        <v>2024</v>
      </c>
      <c r="O55" s="127">
        <f>16377854</f>
        <v>16377854</v>
      </c>
      <c r="P55" s="128"/>
    </row>
    <row r="56" spans="1:246" s="145" customFormat="1" ht="63">
      <c r="A56" s="44">
        <f t="shared" si="7"/>
        <v>47</v>
      </c>
      <c r="B56" s="231" t="s">
        <v>128</v>
      </c>
      <c r="C56" s="232" t="s">
        <v>60</v>
      </c>
      <c r="D56" s="146" t="s">
        <v>129</v>
      </c>
      <c r="E56" s="146" t="s">
        <v>29</v>
      </c>
      <c r="F56" s="233">
        <v>1436</v>
      </c>
      <c r="G56" s="234">
        <v>98</v>
      </c>
      <c r="H56" s="235">
        <v>0</v>
      </c>
      <c r="I56" s="236">
        <v>6.7999999999999996E-3</v>
      </c>
      <c r="J56" s="237">
        <v>295782</v>
      </c>
      <c r="K56" s="237">
        <v>2017</v>
      </c>
      <c r="L56" s="237">
        <v>0</v>
      </c>
      <c r="M56" s="142">
        <f t="shared" si="6"/>
        <v>293765</v>
      </c>
      <c r="N56" s="238" t="s">
        <v>52</v>
      </c>
      <c r="O56" s="239">
        <f>15.188*1000000</f>
        <v>15188000</v>
      </c>
      <c r="P56" s="148" t="s">
        <v>130</v>
      </c>
    </row>
    <row r="57" spans="1:246" s="246" customFormat="1" ht="102" customHeight="1">
      <c r="A57" s="44">
        <f t="shared" si="7"/>
        <v>48</v>
      </c>
      <c r="B57" s="240" t="s">
        <v>131</v>
      </c>
      <c r="C57" s="34" t="s">
        <v>41</v>
      </c>
      <c r="D57" s="73" t="s">
        <v>51</v>
      </c>
      <c r="E57" s="72" t="s">
        <v>23</v>
      </c>
      <c r="F57" s="117">
        <v>1367</v>
      </c>
      <c r="G57" s="74">
        <v>100</v>
      </c>
      <c r="H57" s="75">
        <v>6.7500000000000004E-2</v>
      </c>
      <c r="I57" s="37">
        <f>K57/J57</f>
        <v>6.755416435389501E-2</v>
      </c>
      <c r="J57" s="76">
        <v>109897</v>
      </c>
      <c r="K57" s="40">
        <f>5750+1674</f>
        <v>7424</v>
      </c>
      <c r="L57" s="40">
        <v>12916</v>
      </c>
      <c r="M57" s="76">
        <f t="shared" si="6"/>
        <v>89557</v>
      </c>
      <c r="N57" s="73" t="s">
        <v>52</v>
      </c>
      <c r="O57" s="105">
        <v>18905428</v>
      </c>
      <c r="P57" s="105" t="s">
        <v>132</v>
      </c>
      <c r="Q57" s="107"/>
      <c r="R57" s="241"/>
      <c r="S57" s="241"/>
      <c r="T57" s="241"/>
      <c r="U57" s="109"/>
      <c r="V57" s="242"/>
      <c r="W57" s="243"/>
      <c r="X57" s="244"/>
      <c r="Y57" s="244"/>
      <c r="Z57" s="245"/>
    </row>
    <row r="58" spans="1:246" s="246" customFormat="1" ht="67.5" customHeight="1">
      <c r="A58" s="44">
        <f t="shared" si="7"/>
        <v>49</v>
      </c>
      <c r="B58" s="240" t="s">
        <v>133</v>
      </c>
      <c r="C58" s="34" t="s">
        <v>41</v>
      </c>
      <c r="D58" s="73" t="s">
        <v>51</v>
      </c>
      <c r="E58" s="80" t="s">
        <v>23</v>
      </c>
      <c r="F58" s="117">
        <v>22285</v>
      </c>
      <c r="G58" s="74">
        <v>99</v>
      </c>
      <c r="H58" s="75">
        <v>0</v>
      </c>
      <c r="I58" s="37">
        <f>K58/J58</f>
        <v>2.7384965883855525E-3</v>
      </c>
      <c r="J58" s="40">
        <v>173818</v>
      </c>
      <c r="K58" s="247">
        <v>476</v>
      </c>
      <c r="L58" s="201">
        <v>35429</v>
      </c>
      <c r="M58" s="40">
        <f t="shared" si="6"/>
        <v>137913</v>
      </c>
      <c r="N58" s="73" t="s">
        <v>52</v>
      </c>
      <c r="O58" s="248">
        <v>0.25609999999999999</v>
      </c>
      <c r="P58" s="105" t="s">
        <v>132</v>
      </c>
      <c r="Q58" s="107"/>
      <c r="R58" s="241"/>
      <c r="S58" s="241"/>
      <c r="T58" s="241"/>
      <c r="U58" s="109"/>
      <c r="V58" s="242"/>
      <c r="W58" s="243"/>
      <c r="X58" s="244"/>
      <c r="Y58" s="244"/>
      <c r="Z58" s="245"/>
    </row>
    <row r="59" spans="1:246" s="118" customFormat="1" ht="93.75" customHeight="1">
      <c r="A59" s="44">
        <f t="shared" si="7"/>
        <v>50</v>
      </c>
      <c r="B59" s="249" t="s">
        <v>134</v>
      </c>
      <c r="C59" s="34" t="s">
        <v>41</v>
      </c>
      <c r="D59" s="73" t="s">
        <v>51</v>
      </c>
      <c r="E59" s="80" t="s">
        <v>23</v>
      </c>
      <c r="F59" s="250">
        <v>1468</v>
      </c>
      <c r="G59" s="74">
        <v>88</v>
      </c>
      <c r="H59" s="75">
        <v>0</v>
      </c>
      <c r="I59" s="37">
        <v>0</v>
      </c>
      <c r="J59" s="251">
        <v>179263</v>
      </c>
      <c r="K59" s="252">
        <f>0</f>
        <v>0</v>
      </c>
      <c r="L59" s="252">
        <v>9170</v>
      </c>
      <c r="M59" s="76">
        <f t="shared" si="6"/>
        <v>170093</v>
      </c>
      <c r="N59" s="178" t="s">
        <v>66</v>
      </c>
      <c r="O59" s="253">
        <f>1148770086/4.9</f>
        <v>234442874.69387755</v>
      </c>
      <c r="P59" s="254"/>
    </row>
    <row r="60" spans="1:246" s="43" customFormat="1" ht="77.25" customHeight="1">
      <c r="A60" s="44">
        <f t="shared" si="7"/>
        <v>51</v>
      </c>
      <c r="B60" s="116" t="s">
        <v>135</v>
      </c>
      <c r="C60" s="34" t="s">
        <v>41</v>
      </c>
      <c r="D60" s="73" t="s">
        <v>51</v>
      </c>
      <c r="E60" s="72" t="s">
        <v>23</v>
      </c>
      <c r="F60" s="117" t="s">
        <v>92</v>
      </c>
      <c r="G60" s="74">
        <v>110</v>
      </c>
      <c r="H60" s="75">
        <v>0.53</v>
      </c>
      <c r="I60" s="84">
        <f>K60/J60</f>
        <v>8.8526325072757733E-2</v>
      </c>
      <c r="J60" s="40">
        <v>113390</v>
      </c>
      <c r="K60" s="40">
        <v>10038</v>
      </c>
      <c r="L60" s="40">
        <v>30000</v>
      </c>
      <c r="M60" s="40">
        <f t="shared" si="6"/>
        <v>73352</v>
      </c>
      <c r="N60" s="73" t="s">
        <v>52</v>
      </c>
      <c r="O60" s="77">
        <f>8774528/4.9</f>
        <v>1790719.9999999998</v>
      </c>
      <c r="P60" s="78" t="s">
        <v>136</v>
      </c>
    </row>
    <row r="61" spans="1:246" s="145" customFormat="1" ht="77.25" customHeight="1">
      <c r="A61" s="44">
        <f t="shared" si="7"/>
        <v>52</v>
      </c>
      <c r="B61" s="231" t="s">
        <v>137</v>
      </c>
      <c r="C61" s="232" t="s">
        <v>60</v>
      </c>
      <c r="D61" s="146" t="s">
        <v>138</v>
      </c>
      <c r="E61" s="146" t="s">
        <v>29</v>
      </c>
      <c r="F61" s="233" t="s">
        <v>139</v>
      </c>
      <c r="G61" s="234">
        <v>97</v>
      </c>
      <c r="H61" s="235">
        <v>0</v>
      </c>
      <c r="I61" s="236">
        <v>0.01</v>
      </c>
      <c r="J61" s="237">
        <v>217462</v>
      </c>
      <c r="K61" s="237">
        <v>2280</v>
      </c>
      <c r="L61" s="237">
        <v>2220</v>
      </c>
      <c r="M61" s="142">
        <f t="shared" si="6"/>
        <v>212962</v>
      </c>
      <c r="N61" s="238" t="s">
        <v>74</v>
      </c>
      <c r="O61" s="239">
        <f>1008454600/4.9</f>
        <v>205807061.22448978</v>
      </c>
      <c r="P61" s="255" t="s">
        <v>140</v>
      </c>
    </row>
    <row r="62" spans="1:246" s="246" customFormat="1" ht="77.25" customHeight="1">
      <c r="A62" s="44">
        <f t="shared" si="7"/>
        <v>53</v>
      </c>
      <c r="B62" s="256" t="s">
        <v>141</v>
      </c>
      <c r="C62" s="34" t="s">
        <v>41</v>
      </c>
      <c r="D62" s="73" t="s">
        <v>51</v>
      </c>
      <c r="E62" s="257" t="s">
        <v>23</v>
      </c>
      <c r="F62" s="258">
        <v>21905</v>
      </c>
      <c r="G62" s="74">
        <v>99</v>
      </c>
      <c r="H62" s="75">
        <v>0</v>
      </c>
      <c r="I62" s="37">
        <f>K62/J62</f>
        <v>1.1669623496944608E-3</v>
      </c>
      <c r="J62" s="40">
        <v>126825</v>
      </c>
      <c r="K62" s="247">
        <f>148</f>
        <v>148</v>
      </c>
      <c r="L62" s="247">
        <v>41320</v>
      </c>
      <c r="M62" s="181">
        <f t="shared" si="6"/>
        <v>85357</v>
      </c>
      <c r="N62" s="104">
        <v>2024</v>
      </c>
      <c r="O62" s="105">
        <f>2668.4*1000</f>
        <v>2668400</v>
      </c>
      <c r="P62" s="105" t="s">
        <v>142</v>
      </c>
      <c r="Q62" s="107"/>
      <c r="R62" s="241"/>
      <c r="S62" s="241"/>
      <c r="T62" s="241"/>
      <c r="U62" s="109"/>
      <c r="V62" s="242"/>
      <c r="W62" s="243"/>
      <c r="X62" s="244"/>
      <c r="Y62" s="244"/>
      <c r="Z62" s="245"/>
    </row>
    <row r="63" spans="1:246" s="118" customFormat="1" ht="82.5" customHeight="1">
      <c r="A63" s="44">
        <f t="shared" si="7"/>
        <v>54</v>
      </c>
      <c r="B63" s="259" t="s">
        <v>143</v>
      </c>
      <c r="C63" s="34" t="s">
        <v>41</v>
      </c>
      <c r="D63" s="73" t="s">
        <v>101</v>
      </c>
      <c r="E63" s="260" t="s">
        <v>23</v>
      </c>
      <c r="F63" s="261">
        <v>1004</v>
      </c>
      <c r="G63" s="74">
        <v>109</v>
      </c>
      <c r="H63" s="37">
        <v>0.99860000000000004</v>
      </c>
      <c r="I63" s="37">
        <f>K63/J63</f>
        <v>0.60264570482905888</v>
      </c>
      <c r="J63" s="262">
        <v>4817771</v>
      </c>
      <c r="K63" s="38">
        <f>69+2903340</f>
        <v>2903409</v>
      </c>
      <c r="L63" s="38">
        <v>47483</v>
      </c>
      <c r="M63" s="76">
        <f t="shared" si="6"/>
        <v>1866879</v>
      </c>
      <c r="N63" s="263">
        <v>2023</v>
      </c>
      <c r="O63" s="217">
        <f>894374213/4.8</f>
        <v>186327961.04166669</v>
      </c>
      <c r="P63" s="264" t="s">
        <v>144</v>
      </c>
    </row>
    <row r="64" spans="1:246" s="118" customFormat="1" ht="171" customHeight="1">
      <c r="A64" s="44">
        <f t="shared" si="7"/>
        <v>55</v>
      </c>
      <c r="B64" s="259" t="s">
        <v>145</v>
      </c>
      <c r="C64" s="34" t="s">
        <v>41</v>
      </c>
      <c r="D64" s="73" t="s">
        <v>101</v>
      </c>
      <c r="E64" s="260" t="s">
        <v>23</v>
      </c>
      <c r="F64" s="261">
        <v>1003</v>
      </c>
      <c r="G64" s="36">
        <v>109</v>
      </c>
      <c r="H64" s="37">
        <v>0.99829999999999997</v>
      </c>
      <c r="I64" s="37">
        <f>K64/J64</f>
        <v>0.86449003542057135</v>
      </c>
      <c r="J64" s="262">
        <v>3415247</v>
      </c>
      <c r="K64" s="38">
        <f>2943599+8848</f>
        <v>2952447</v>
      </c>
      <c r="L64" s="265">
        <v>62475</v>
      </c>
      <c r="M64" s="76">
        <f t="shared" si="6"/>
        <v>400325</v>
      </c>
      <c r="N64" s="117">
        <v>2023</v>
      </c>
      <c r="O64" s="217">
        <f>374431594/4.8</f>
        <v>78006582.083333343</v>
      </c>
      <c r="P64" s="216" t="s">
        <v>146</v>
      </c>
    </row>
    <row r="65" spans="1:26" s="118" customFormat="1" ht="108" customHeight="1">
      <c r="A65" s="44">
        <f t="shared" si="7"/>
        <v>56</v>
      </c>
      <c r="B65" s="266" t="s">
        <v>147</v>
      </c>
      <c r="C65" s="34" t="s">
        <v>41</v>
      </c>
      <c r="D65" s="33" t="s">
        <v>101</v>
      </c>
      <c r="E65" s="260" t="s">
        <v>23</v>
      </c>
      <c r="F65" s="117" t="s">
        <v>148</v>
      </c>
      <c r="G65" s="151">
        <v>87</v>
      </c>
      <c r="H65" s="248">
        <v>0.1865</v>
      </c>
      <c r="I65" s="248">
        <f>K65/J65</f>
        <v>0.11893223769706109</v>
      </c>
      <c r="J65" s="262">
        <v>8446112</v>
      </c>
      <c r="K65" s="262">
        <v>1004515</v>
      </c>
      <c r="L65" s="38">
        <v>148643</v>
      </c>
      <c r="M65" s="76">
        <f t="shared" si="6"/>
        <v>7292954</v>
      </c>
      <c r="N65" s="117">
        <v>2024</v>
      </c>
      <c r="O65" s="77">
        <v>5090879000</v>
      </c>
      <c r="P65" s="216" t="s">
        <v>149</v>
      </c>
    </row>
    <row r="66" spans="1:26" s="118" customFormat="1" ht="81.75" customHeight="1">
      <c r="A66" s="44">
        <f t="shared" si="7"/>
        <v>57</v>
      </c>
      <c r="B66" s="267" t="s">
        <v>150</v>
      </c>
      <c r="C66" s="268" t="s">
        <v>41</v>
      </c>
      <c r="D66" s="177" t="s">
        <v>101</v>
      </c>
      <c r="E66" s="177" t="s">
        <v>23</v>
      </c>
      <c r="F66" s="250">
        <v>1397</v>
      </c>
      <c r="G66" s="234">
        <v>101</v>
      </c>
      <c r="H66" s="269">
        <v>0</v>
      </c>
      <c r="I66" s="270">
        <f>K66/J66</f>
        <v>4.4479960902543648E-3</v>
      </c>
      <c r="J66" s="251">
        <v>8782157</v>
      </c>
      <c r="K66" s="252">
        <f>39063</f>
        <v>39063</v>
      </c>
      <c r="L66" s="252">
        <v>508174</v>
      </c>
      <c r="M66" s="251">
        <f t="shared" si="6"/>
        <v>8234920</v>
      </c>
      <c r="N66" s="178" t="s">
        <v>24</v>
      </c>
      <c r="O66" s="253">
        <v>309014922</v>
      </c>
      <c r="P66" s="271" t="s">
        <v>151</v>
      </c>
    </row>
    <row r="67" spans="1:26" s="43" customFormat="1" ht="114.75" customHeight="1">
      <c r="A67" s="44">
        <f t="shared" si="7"/>
        <v>58</v>
      </c>
      <c r="B67" s="116" t="s">
        <v>152</v>
      </c>
      <c r="C67" s="177" t="s">
        <v>107</v>
      </c>
      <c r="D67" s="73" t="s">
        <v>153</v>
      </c>
      <c r="E67" s="72" t="s">
        <v>23</v>
      </c>
      <c r="F67" s="72">
        <v>1107</v>
      </c>
      <c r="G67" s="74">
        <v>84</v>
      </c>
      <c r="H67" s="75">
        <v>7.0000000000000007E-2</v>
      </c>
      <c r="I67" s="37">
        <v>0.06</v>
      </c>
      <c r="J67" s="40">
        <v>404557</v>
      </c>
      <c r="K67" s="40">
        <v>19236</v>
      </c>
      <c r="L67" s="40">
        <v>68000</v>
      </c>
      <c r="M67" s="40">
        <f t="shared" si="6"/>
        <v>317321</v>
      </c>
      <c r="N67" s="73" t="s">
        <v>74</v>
      </c>
      <c r="O67" s="77">
        <f>472726858.16/4.9</f>
        <v>96474869.012244895</v>
      </c>
      <c r="P67" s="78" t="s">
        <v>109</v>
      </c>
    </row>
    <row r="68" spans="1:26" s="43" customFormat="1" ht="77.25" customHeight="1">
      <c r="A68" s="44">
        <f t="shared" si="7"/>
        <v>59</v>
      </c>
      <c r="B68" s="267" t="s">
        <v>154</v>
      </c>
      <c r="C68" s="268" t="s">
        <v>41</v>
      </c>
      <c r="D68" s="177" t="s">
        <v>101</v>
      </c>
      <c r="E68" s="177" t="s">
        <v>23</v>
      </c>
      <c r="F68" s="250">
        <v>1373</v>
      </c>
      <c r="G68" s="234">
        <v>103</v>
      </c>
      <c r="H68" s="269">
        <v>0</v>
      </c>
      <c r="I68" s="272">
        <f t="shared" ref="I68:I74" si="9">K68/J68</f>
        <v>3.6287508722958827E-4</v>
      </c>
      <c r="J68" s="251">
        <v>394075</v>
      </c>
      <c r="K68" s="252">
        <f>143</f>
        <v>143</v>
      </c>
      <c r="L68" s="252">
        <v>219520</v>
      </c>
      <c r="M68" s="251">
        <f t="shared" si="6"/>
        <v>174412</v>
      </c>
      <c r="N68" s="178" t="s">
        <v>52</v>
      </c>
      <c r="O68" s="253">
        <v>40560000</v>
      </c>
      <c r="P68" s="273"/>
    </row>
    <row r="69" spans="1:26" s="118" customFormat="1" ht="77.25" customHeight="1">
      <c r="A69" s="44">
        <f t="shared" si="7"/>
        <v>60</v>
      </c>
      <c r="B69" s="218" t="s">
        <v>155</v>
      </c>
      <c r="C69" s="34" t="s">
        <v>41</v>
      </c>
      <c r="D69" s="73" t="s">
        <v>54</v>
      </c>
      <c r="E69" s="72" t="s">
        <v>23</v>
      </c>
      <c r="F69" s="117">
        <v>1306</v>
      </c>
      <c r="G69" s="74">
        <v>110</v>
      </c>
      <c r="H69" s="75">
        <v>0.74609999999999999</v>
      </c>
      <c r="I69" s="37">
        <f t="shared" si="9"/>
        <v>0.42541267836098651</v>
      </c>
      <c r="J69" s="274">
        <v>117949</v>
      </c>
      <c r="K69" s="40">
        <f>28379+21798</f>
        <v>50177</v>
      </c>
      <c r="L69" s="76">
        <v>27688</v>
      </c>
      <c r="M69" s="76">
        <f t="shared" si="6"/>
        <v>40084</v>
      </c>
      <c r="N69" s="73" t="s">
        <v>156</v>
      </c>
      <c r="O69" s="77">
        <f>16377854</f>
        <v>16377854</v>
      </c>
      <c r="P69" s="78"/>
    </row>
    <row r="70" spans="1:26" s="43" customFormat="1" ht="129.75" customHeight="1">
      <c r="A70" s="44">
        <f t="shared" si="7"/>
        <v>61</v>
      </c>
      <c r="B70" s="116" t="s">
        <v>157</v>
      </c>
      <c r="C70" s="177" t="s">
        <v>107</v>
      </c>
      <c r="D70" s="73" t="s">
        <v>158</v>
      </c>
      <c r="E70" s="72" t="s">
        <v>23</v>
      </c>
      <c r="F70" s="72">
        <v>1107</v>
      </c>
      <c r="G70" s="74">
        <v>88</v>
      </c>
      <c r="H70" s="75">
        <v>0.15</v>
      </c>
      <c r="I70" s="37">
        <f t="shared" si="9"/>
        <v>3.1324026919538395E-2</v>
      </c>
      <c r="J70" s="40">
        <v>138041</v>
      </c>
      <c r="K70" s="40">
        <v>4324</v>
      </c>
      <c r="L70" s="40">
        <v>32000</v>
      </c>
      <c r="M70" s="40">
        <f t="shared" si="6"/>
        <v>101717</v>
      </c>
      <c r="N70" s="73" t="s">
        <v>52</v>
      </c>
      <c r="O70" s="77">
        <f>71978460/4.9</f>
        <v>14689481.632653059</v>
      </c>
      <c r="P70" s="78" t="s">
        <v>109</v>
      </c>
    </row>
    <row r="71" spans="1:26" s="246" customFormat="1" ht="129.75" customHeight="1">
      <c r="A71" s="44">
        <f t="shared" si="7"/>
        <v>62</v>
      </c>
      <c r="B71" s="256" t="s">
        <v>159</v>
      </c>
      <c r="C71" s="34" t="s">
        <v>41</v>
      </c>
      <c r="D71" s="73" t="s">
        <v>51</v>
      </c>
      <c r="E71" s="257" t="s">
        <v>29</v>
      </c>
      <c r="F71" s="258">
        <v>22987</v>
      </c>
      <c r="G71" s="74">
        <v>94</v>
      </c>
      <c r="H71" s="75">
        <v>0</v>
      </c>
      <c r="I71" s="37">
        <f t="shared" si="9"/>
        <v>0</v>
      </c>
      <c r="J71" s="40">
        <v>233338</v>
      </c>
      <c r="K71" s="247">
        <v>0</v>
      </c>
      <c r="L71" s="247">
        <v>0</v>
      </c>
      <c r="M71" s="181">
        <f t="shared" si="6"/>
        <v>233338</v>
      </c>
      <c r="N71" s="104">
        <v>2024</v>
      </c>
      <c r="O71" s="105">
        <v>22208934</v>
      </c>
      <c r="P71" s="105" t="s">
        <v>160</v>
      </c>
      <c r="Q71" s="107"/>
      <c r="R71" s="241"/>
      <c r="S71" s="241"/>
      <c r="T71" s="241"/>
      <c r="U71" s="109"/>
      <c r="V71" s="242"/>
      <c r="W71" s="243"/>
      <c r="X71" s="244"/>
      <c r="Y71" s="244"/>
      <c r="Z71" s="245"/>
    </row>
    <row r="72" spans="1:26" s="145" customFormat="1" ht="96.75" customHeight="1">
      <c r="A72" s="44">
        <f t="shared" si="7"/>
        <v>63</v>
      </c>
      <c r="B72" s="116" t="s">
        <v>161</v>
      </c>
      <c r="C72" s="34" t="s">
        <v>41</v>
      </c>
      <c r="D72" s="73" t="s">
        <v>51</v>
      </c>
      <c r="E72" s="80" t="s">
        <v>23</v>
      </c>
      <c r="F72" s="117">
        <v>11176</v>
      </c>
      <c r="G72" s="74">
        <v>98</v>
      </c>
      <c r="H72" s="75">
        <v>0</v>
      </c>
      <c r="I72" s="37">
        <f t="shared" si="9"/>
        <v>3.3299725934025364E-3</v>
      </c>
      <c r="J72" s="40">
        <v>140842</v>
      </c>
      <c r="K72" s="40">
        <f>469</f>
        <v>469</v>
      </c>
      <c r="L72" s="40">
        <v>76639</v>
      </c>
      <c r="M72" s="40">
        <f t="shared" si="6"/>
        <v>63734</v>
      </c>
      <c r="N72" s="73" t="s">
        <v>52</v>
      </c>
      <c r="O72" s="77">
        <f>60699867/4.9</f>
        <v>12387727.959183672</v>
      </c>
      <c r="P72" s="78"/>
    </row>
    <row r="73" spans="1:26" s="43" customFormat="1" ht="90" customHeight="1">
      <c r="A73" s="44">
        <f t="shared" si="7"/>
        <v>64</v>
      </c>
      <c r="B73" s="116" t="s">
        <v>162</v>
      </c>
      <c r="C73" s="72" t="s">
        <v>107</v>
      </c>
      <c r="D73" s="73" t="s">
        <v>163</v>
      </c>
      <c r="E73" s="72" t="s">
        <v>23</v>
      </c>
      <c r="F73" s="117">
        <v>1107</v>
      </c>
      <c r="G73" s="74">
        <v>86</v>
      </c>
      <c r="H73" s="75">
        <v>0.03</v>
      </c>
      <c r="I73" s="37">
        <f t="shared" si="9"/>
        <v>2.895883149900412E-2</v>
      </c>
      <c r="J73" s="40">
        <v>185263</v>
      </c>
      <c r="K73" s="40">
        <v>5365</v>
      </c>
      <c r="L73" s="40">
        <v>21000</v>
      </c>
      <c r="M73" s="40">
        <f t="shared" si="6"/>
        <v>158898</v>
      </c>
      <c r="N73" s="73" t="s">
        <v>74</v>
      </c>
      <c r="O73" s="77">
        <v>44285.89</v>
      </c>
      <c r="P73" s="78" t="s">
        <v>109</v>
      </c>
    </row>
    <row r="74" spans="1:26" s="43" customFormat="1" ht="77.25" customHeight="1">
      <c r="A74" s="44">
        <f t="shared" si="7"/>
        <v>65</v>
      </c>
      <c r="B74" s="249" t="s">
        <v>164</v>
      </c>
      <c r="C74" s="268" t="s">
        <v>21</v>
      </c>
      <c r="D74" s="177" t="s">
        <v>22</v>
      </c>
      <c r="E74" s="177" t="s">
        <v>23</v>
      </c>
      <c r="F74" s="250">
        <v>1423</v>
      </c>
      <c r="G74" s="234">
        <v>87</v>
      </c>
      <c r="H74" s="269">
        <v>0</v>
      </c>
      <c r="I74" s="272">
        <f t="shared" si="9"/>
        <v>1.6853838557967498E-2</v>
      </c>
      <c r="J74" s="252">
        <v>119498</v>
      </c>
      <c r="K74" s="252">
        <v>2014</v>
      </c>
      <c r="L74" s="252">
        <v>15000</v>
      </c>
      <c r="M74" s="252">
        <f t="shared" ref="M74:M105" si="10">J74-K74-L74</f>
        <v>102484</v>
      </c>
      <c r="N74" s="178" t="s">
        <v>104</v>
      </c>
      <c r="O74" s="253">
        <f>747250496/4.9</f>
        <v>152500101.22448978</v>
      </c>
      <c r="P74" s="273" t="s">
        <v>165</v>
      </c>
    </row>
    <row r="75" spans="1:26" s="43" customFormat="1" ht="126" customHeight="1">
      <c r="A75" s="44">
        <f t="shared" ref="A75:A106" si="11">A74+1</f>
        <v>66</v>
      </c>
      <c r="B75" s="219" t="s">
        <v>166</v>
      </c>
      <c r="C75" s="268" t="s">
        <v>107</v>
      </c>
      <c r="D75" s="177" t="s">
        <v>167</v>
      </c>
      <c r="E75" s="177" t="s">
        <v>23</v>
      </c>
      <c r="F75" s="250">
        <v>1108</v>
      </c>
      <c r="G75" s="234">
        <v>79</v>
      </c>
      <c r="H75" s="269">
        <v>0.02</v>
      </c>
      <c r="I75" s="272">
        <v>0.02</v>
      </c>
      <c r="J75" s="252">
        <v>155383</v>
      </c>
      <c r="K75" s="252">
        <v>4204</v>
      </c>
      <c r="L75" s="252">
        <v>23000</v>
      </c>
      <c r="M75" s="40">
        <f t="shared" si="10"/>
        <v>128179</v>
      </c>
      <c r="N75" s="178" t="s">
        <v>24</v>
      </c>
      <c r="O75" s="253">
        <f>155383540.81/4.9</f>
        <v>31710926.695918366</v>
      </c>
      <c r="P75" s="275" t="s">
        <v>168</v>
      </c>
    </row>
    <row r="76" spans="1:26" s="43" customFormat="1" ht="107.25" customHeight="1">
      <c r="A76" s="44">
        <f t="shared" si="11"/>
        <v>67</v>
      </c>
      <c r="B76" s="249" t="s">
        <v>169</v>
      </c>
      <c r="C76" s="268" t="s">
        <v>107</v>
      </c>
      <c r="D76" s="177" t="s">
        <v>170</v>
      </c>
      <c r="E76" s="177" t="s">
        <v>23</v>
      </c>
      <c r="F76" s="250">
        <v>1108</v>
      </c>
      <c r="G76" s="234">
        <v>84</v>
      </c>
      <c r="H76" s="269">
        <v>0.01</v>
      </c>
      <c r="I76" s="272">
        <f>K76/J76</f>
        <v>2.9883994173126201E-2</v>
      </c>
      <c r="J76" s="252">
        <v>188094</v>
      </c>
      <c r="K76" s="252">
        <v>5621</v>
      </c>
      <c r="L76" s="252">
        <v>12000</v>
      </c>
      <c r="M76" s="40">
        <f t="shared" si="10"/>
        <v>170473</v>
      </c>
      <c r="N76" s="178" t="s">
        <v>24</v>
      </c>
      <c r="O76" s="253">
        <f>135610806/4.9</f>
        <v>27675674.693877548</v>
      </c>
      <c r="P76" s="273" t="s">
        <v>171</v>
      </c>
    </row>
    <row r="77" spans="1:26" s="43" customFormat="1" ht="99" customHeight="1">
      <c r="A77" s="44">
        <f t="shared" si="11"/>
        <v>68</v>
      </c>
      <c r="B77" s="249" t="s">
        <v>172</v>
      </c>
      <c r="C77" s="268" t="s">
        <v>107</v>
      </c>
      <c r="D77" s="177" t="s">
        <v>173</v>
      </c>
      <c r="E77" s="177" t="s">
        <v>23</v>
      </c>
      <c r="F77" s="250">
        <v>1108</v>
      </c>
      <c r="G77" s="234">
        <v>80</v>
      </c>
      <c r="H77" s="269">
        <v>0.03</v>
      </c>
      <c r="I77" s="272">
        <f>K77/J77</f>
        <v>3.0648030495552731E-2</v>
      </c>
      <c r="J77" s="252">
        <v>118050</v>
      </c>
      <c r="K77" s="252">
        <v>3618</v>
      </c>
      <c r="L77" s="252">
        <v>19000</v>
      </c>
      <c r="M77" s="40">
        <f t="shared" si="10"/>
        <v>95432</v>
      </c>
      <c r="N77" s="178" t="s">
        <v>74</v>
      </c>
      <c r="O77" s="253">
        <f>79946864/4.9</f>
        <v>16315686.530612243</v>
      </c>
      <c r="P77" s="275" t="s">
        <v>109</v>
      </c>
    </row>
    <row r="78" spans="1:26" s="43" customFormat="1" ht="142.5" customHeight="1">
      <c r="A78" s="44">
        <f t="shared" si="11"/>
        <v>69</v>
      </c>
      <c r="B78" s="249" t="s">
        <v>174</v>
      </c>
      <c r="C78" s="268" t="s">
        <v>107</v>
      </c>
      <c r="D78" s="177" t="s">
        <v>175</v>
      </c>
      <c r="E78" s="177" t="s">
        <v>29</v>
      </c>
      <c r="F78" s="250">
        <v>1108</v>
      </c>
      <c r="G78" s="234">
        <v>80</v>
      </c>
      <c r="H78" s="269">
        <v>0.02</v>
      </c>
      <c r="I78" s="272">
        <v>0</v>
      </c>
      <c r="J78" s="252">
        <v>144445</v>
      </c>
      <c r="K78" s="252">
        <v>0</v>
      </c>
      <c r="L78" s="252">
        <v>24000</v>
      </c>
      <c r="M78" s="40">
        <f t="shared" si="10"/>
        <v>120445</v>
      </c>
      <c r="N78" s="178" t="s">
        <v>74</v>
      </c>
      <c r="O78" s="253">
        <f>52472616/4.9</f>
        <v>10708697.142857142</v>
      </c>
      <c r="P78" s="273" t="s">
        <v>176</v>
      </c>
    </row>
    <row r="79" spans="1:26" s="43" customFormat="1" ht="105" customHeight="1">
      <c r="A79" s="44">
        <f t="shared" si="11"/>
        <v>70</v>
      </c>
      <c r="B79" s="249" t="s">
        <v>177</v>
      </c>
      <c r="C79" s="268" t="s">
        <v>107</v>
      </c>
      <c r="D79" s="177" t="s">
        <v>178</v>
      </c>
      <c r="E79" s="177" t="s">
        <v>29</v>
      </c>
      <c r="F79" s="250">
        <v>1108</v>
      </c>
      <c r="G79" s="234">
        <v>80</v>
      </c>
      <c r="H79" s="269">
        <v>0.01</v>
      </c>
      <c r="I79" s="272">
        <v>0.01</v>
      </c>
      <c r="J79" s="252">
        <v>348482</v>
      </c>
      <c r="K79" s="252">
        <v>0</v>
      </c>
      <c r="L79" s="252">
        <v>27000</v>
      </c>
      <c r="M79" s="40">
        <f t="shared" si="10"/>
        <v>321482</v>
      </c>
      <c r="N79" s="178" t="s">
        <v>24</v>
      </c>
      <c r="O79" s="253">
        <f>40575148/4.9</f>
        <v>8280642.448979591</v>
      </c>
      <c r="P79" s="273" t="s">
        <v>171</v>
      </c>
    </row>
    <row r="80" spans="1:26" s="43" customFormat="1" ht="107.25" customHeight="1">
      <c r="A80" s="44">
        <f t="shared" si="11"/>
        <v>71</v>
      </c>
      <c r="B80" s="116" t="s">
        <v>179</v>
      </c>
      <c r="C80" s="177" t="s">
        <v>107</v>
      </c>
      <c r="D80" s="73" t="s">
        <v>180</v>
      </c>
      <c r="E80" s="72" t="s">
        <v>29</v>
      </c>
      <c r="F80" s="117">
        <v>1108</v>
      </c>
      <c r="G80" s="74">
        <v>80</v>
      </c>
      <c r="H80" s="75">
        <v>0</v>
      </c>
      <c r="I80" s="37">
        <v>0</v>
      </c>
      <c r="J80" s="40">
        <v>130205</v>
      </c>
      <c r="K80" s="40">
        <v>0</v>
      </c>
      <c r="L80" s="40">
        <v>0</v>
      </c>
      <c r="M80" s="40">
        <f t="shared" si="10"/>
        <v>130205</v>
      </c>
      <c r="N80" s="73" t="s">
        <v>74</v>
      </c>
      <c r="O80" s="77">
        <f>39954005/4.9</f>
        <v>8153878.5714285709</v>
      </c>
      <c r="P80" s="275" t="s">
        <v>181</v>
      </c>
    </row>
    <row r="81" spans="1:16" s="145" customFormat="1" ht="77.25" customHeight="1">
      <c r="A81" s="44">
        <f t="shared" si="11"/>
        <v>72</v>
      </c>
      <c r="B81" s="116" t="s">
        <v>182</v>
      </c>
      <c r="C81" s="34" t="s">
        <v>41</v>
      </c>
      <c r="D81" s="73" t="s">
        <v>51</v>
      </c>
      <c r="E81" s="80" t="s">
        <v>23</v>
      </c>
      <c r="F81" s="117">
        <v>1363</v>
      </c>
      <c r="G81" s="74">
        <v>93</v>
      </c>
      <c r="H81" s="75">
        <v>0</v>
      </c>
      <c r="I81" s="37">
        <v>0</v>
      </c>
      <c r="J81" s="40">
        <v>124489</v>
      </c>
      <c r="K81" s="40">
        <f>0</f>
        <v>0</v>
      </c>
      <c r="L81" s="40">
        <v>1000</v>
      </c>
      <c r="M81" s="40">
        <f t="shared" si="10"/>
        <v>123489</v>
      </c>
      <c r="N81" s="73" t="s">
        <v>183</v>
      </c>
      <c r="O81" s="77">
        <v>5068691</v>
      </c>
      <c r="P81" s="78"/>
    </row>
    <row r="82" spans="1:16" s="145" customFormat="1" ht="77.25" customHeight="1">
      <c r="A82" s="44">
        <f t="shared" si="11"/>
        <v>73</v>
      </c>
      <c r="B82" s="249" t="s">
        <v>184</v>
      </c>
      <c r="C82" s="268" t="s">
        <v>41</v>
      </c>
      <c r="D82" s="177" t="s">
        <v>51</v>
      </c>
      <c r="E82" s="276" t="s">
        <v>23</v>
      </c>
      <c r="F82" s="250">
        <v>1362</v>
      </c>
      <c r="G82" s="234">
        <v>95</v>
      </c>
      <c r="H82" s="277" t="s">
        <v>185</v>
      </c>
      <c r="I82" s="272">
        <f>K82/J82</f>
        <v>1.1208342327682114E-3</v>
      </c>
      <c r="J82" s="252">
        <v>120446</v>
      </c>
      <c r="K82" s="252">
        <f>0+135</f>
        <v>135</v>
      </c>
      <c r="L82" s="252">
        <v>43028</v>
      </c>
      <c r="M82" s="252">
        <f t="shared" si="10"/>
        <v>77283</v>
      </c>
      <c r="N82" s="178" t="s">
        <v>74</v>
      </c>
      <c r="O82" s="253">
        <f>3395997</f>
        <v>3395997</v>
      </c>
      <c r="P82" s="273"/>
    </row>
    <row r="83" spans="1:16" s="43" customFormat="1" ht="109.5" customHeight="1">
      <c r="A83" s="44">
        <f t="shared" si="11"/>
        <v>74</v>
      </c>
      <c r="B83" s="249" t="s">
        <v>186</v>
      </c>
      <c r="C83" s="268" t="s">
        <v>107</v>
      </c>
      <c r="D83" s="177" t="s">
        <v>187</v>
      </c>
      <c r="E83" s="177" t="s">
        <v>29</v>
      </c>
      <c r="F83" s="250">
        <v>1108</v>
      </c>
      <c r="G83" s="234">
        <v>80</v>
      </c>
      <c r="H83" s="269">
        <v>0.03</v>
      </c>
      <c r="I83" s="272">
        <v>0.02</v>
      </c>
      <c r="J83" s="252">
        <v>144489</v>
      </c>
      <c r="K83" s="252">
        <v>0</v>
      </c>
      <c r="L83" s="252">
        <v>6000</v>
      </c>
      <c r="M83" s="40">
        <f t="shared" si="10"/>
        <v>138489</v>
      </c>
      <c r="N83" s="178" t="s">
        <v>24</v>
      </c>
      <c r="O83" s="253">
        <f>415952/4.9</f>
        <v>84888.16326530611</v>
      </c>
      <c r="P83" s="273" t="s">
        <v>109</v>
      </c>
    </row>
    <row r="84" spans="1:16" s="118" customFormat="1" ht="147" customHeight="1">
      <c r="A84" s="44">
        <f t="shared" si="11"/>
        <v>75</v>
      </c>
      <c r="B84" s="278" t="s">
        <v>188</v>
      </c>
      <c r="C84" s="120" t="s">
        <v>41</v>
      </c>
      <c r="D84" s="155" t="s">
        <v>54</v>
      </c>
      <c r="E84" s="279" t="s">
        <v>23</v>
      </c>
      <c r="F84" s="280">
        <v>1218</v>
      </c>
      <c r="G84" s="36">
        <v>87</v>
      </c>
      <c r="H84" s="124">
        <v>0.28749999999999998</v>
      </c>
      <c r="I84" s="124">
        <f>K84/J84</f>
        <v>0.10608778265535102</v>
      </c>
      <c r="J84" s="281">
        <v>18590529</v>
      </c>
      <c r="K84" s="132">
        <f>665539+1306689</f>
        <v>1972228</v>
      </c>
      <c r="L84" s="132">
        <v>849842</v>
      </c>
      <c r="M84" s="76">
        <f t="shared" si="10"/>
        <v>15768459</v>
      </c>
      <c r="N84" s="282" t="s">
        <v>189</v>
      </c>
      <c r="O84" s="133">
        <v>4553071361</v>
      </c>
      <c r="P84" s="283"/>
    </row>
    <row r="85" spans="1:16" s="118" customFormat="1" ht="99.75" customHeight="1">
      <c r="A85" s="44">
        <f t="shared" si="11"/>
        <v>76</v>
      </c>
      <c r="B85" s="266" t="s">
        <v>190</v>
      </c>
      <c r="C85" s="34" t="s">
        <v>41</v>
      </c>
      <c r="D85" s="73" t="s">
        <v>101</v>
      </c>
      <c r="E85" s="260" t="s">
        <v>23</v>
      </c>
      <c r="F85" s="35">
        <v>1191</v>
      </c>
      <c r="G85" s="74">
        <v>92</v>
      </c>
      <c r="H85" s="37">
        <v>0.76690000000000003</v>
      </c>
      <c r="I85" s="37">
        <f>K85/J85</f>
        <v>0.64856962217601899</v>
      </c>
      <c r="J85" s="262">
        <v>11171419</v>
      </c>
      <c r="K85" s="38">
        <f>1188800+6056643</f>
        <v>7245443</v>
      </c>
      <c r="L85" s="38">
        <v>2029535</v>
      </c>
      <c r="M85" s="76">
        <f t="shared" si="10"/>
        <v>1896441</v>
      </c>
      <c r="N85" s="73" t="s">
        <v>74</v>
      </c>
      <c r="O85" s="217">
        <v>2034988000</v>
      </c>
      <c r="P85" s="42" t="s">
        <v>191</v>
      </c>
    </row>
    <row r="86" spans="1:16" s="118" customFormat="1" ht="77.25" customHeight="1">
      <c r="A86" s="44">
        <f t="shared" si="11"/>
        <v>77</v>
      </c>
      <c r="B86" s="119" t="s">
        <v>192</v>
      </c>
      <c r="C86" s="120" t="s">
        <v>41</v>
      </c>
      <c r="D86" s="155" t="s">
        <v>54</v>
      </c>
      <c r="E86" s="80" t="s">
        <v>23</v>
      </c>
      <c r="F86" s="122">
        <v>1426</v>
      </c>
      <c r="G86" s="74">
        <v>98</v>
      </c>
      <c r="H86" s="123">
        <v>0</v>
      </c>
      <c r="I86" s="124">
        <f>K86/J86</f>
        <v>9.2090927828980297E-3</v>
      </c>
      <c r="J86" s="76">
        <v>407532</v>
      </c>
      <c r="K86" s="125">
        <f>3753</f>
        <v>3753</v>
      </c>
      <c r="L86" s="125">
        <v>0</v>
      </c>
      <c r="M86" s="76">
        <f t="shared" si="10"/>
        <v>403779</v>
      </c>
      <c r="N86" s="284">
        <v>2026</v>
      </c>
      <c r="O86" s="127">
        <f>2553792</f>
        <v>2553792</v>
      </c>
      <c r="P86" s="285" t="s">
        <v>193</v>
      </c>
    </row>
    <row r="87" spans="1:16" s="118" customFormat="1" ht="77.25" customHeight="1">
      <c r="A87" s="44">
        <f t="shared" si="11"/>
        <v>78</v>
      </c>
      <c r="B87" s="119" t="s">
        <v>194</v>
      </c>
      <c r="C87" s="120" t="s">
        <v>41</v>
      </c>
      <c r="D87" s="155" t="s">
        <v>54</v>
      </c>
      <c r="E87" s="121" t="s">
        <v>23</v>
      </c>
      <c r="F87" s="122">
        <v>1286</v>
      </c>
      <c r="G87" s="74">
        <v>109</v>
      </c>
      <c r="H87" s="123">
        <v>0.54</v>
      </c>
      <c r="I87" s="124">
        <f>K87/J87</f>
        <v>5.5991620568884813E-2</v>
      </c>
      <c r="J87" s="76">
        <v>916530</v>
      </c>
      <c r="K87" s="125">
        <f>51318</f>
        <v>51318</v>
      </c>
      <c r="L87" s="125">
        <v>206784</v>
      </c>
      <c r="M87" s="125">
        <f t="shared" si="10"/>
        <v>658428</v>
      </c>
      <c r="N87" s="155" t="s">
        <v>195</v>
      </c>
      <c r="O87" s="127">
        <v>1169334696</v>
      </c>
      <c r="P87" s="128" t="s">
        <v>196</v>
      </c>
    </row>
    <row r="88" spans="1:16" s="145" customFormat="1" ht="77.25" customHeight="1">
      <c r="A88" s="44">
        <f t="shared" si="11"/>
        <v>79</v>
      </c>
      <c r="B88" s="135" t="s">
        <v>197</v>
      </c>
      <c r="C88" s="138" t="s">
        <v>60</v>
      </c>
      <c r="D88" s="137" t="s">
        <v>198</v>
      </c>
      <c r="E88" s="138" t="s">
        <v>23</v>
      </c>
      <c r="F88" s="138">
        <v>1113</v>
      </c>
      <c r="G88" s="74">
        <v>94</v>
      </c>
      <c r="H88" s="140">
        <v>0.6</v>
      </c>
      <c r="I88" s="141">
        <v>0.27</v>
      </c>
      <c r="J88" s="142">
        <v>150224</v>
      </c>
      <c r="K88" s="142">
        <v>40197</v>
      </c>
      <c r="L88" s="142">
        <v>110027</v>
      </c>
      <c r="M88" s="142">
        <f t="shared" si="10"/>
        <v>0</v>
      </c>
      <c r="N88" s="137" t="s">
        <v>199</v>
      </c>
      <c r="O88" s="143">
        <f>258994180/4.8</f>
        <v>53957120.833333336</v>
      </c>
      <c r="P88" s="286"/>
    </row>
    <row r="89" spans="1:16" s="118" customFormat="1" ht="77.25" customHeight="1">
      <c r="A89" s="44">
        <f t="shared" si="11"/>
        <v>80</v>
      </c>
      <c r="B89" s="278" t="s">
        <v>200</v>
      </c>
      <c r="C89" s="120" t="s">
        <v>41</v>
      </c>
      <c r="D89" s="121" t="s">
        <v>54</v>
      </c>
      <c r="E89" s="121" t="s">
        <v>201</v>
      </c>
      <c r="F89" s="122">
        <v>1285</v>
      </c>
      <c r="G89" s="287">
        <v>110</v>
      </c>
      <c r="H89" s="123">
        <v>0.61</v>
      </c>
      <c r="I89" s="124">
        <f t="shared" ref="I89:I98" si="12">K89/J89</f>
        <v>5.8709395675509334E-2</v>
      </c>
      <c r="J89" s="76">
        <v>883896</v>
      </c>
      <c r="K89" s="40">
        <f>5276+46617</f>
        <v>51893</v>
      </c>
      <c r="L89" s="76">
        <v>118442</v>
      </c>
      <c r="M89" s="76">
        <f t="shared" si="10"/>
        <v>713561</v>
      </c>
      <c r="N89" s="155" t="s">
        <v>202</v>
      </c>
      <c r="O89" s="127">
        <v>40106366</v>
      </c>
      <c r="P89" s="128"/>
    </row>
    <row r="90" spans="1:16" s="145" customFormat="1" ht="77.25" customHeight="1">
      <c r="A90" s="44">
        <f t="shared" si="11"/>
        <v>81</v>
      </c>
      <c r="B90" s="116" t="s">
        <v>203</v>
      </c>
      <c r="C90" s="34" t="s">
        <v>41</v>
      </c>
      <c r="D90" s="73" t="s">
        <v>51</v>
      </c>
      <c r="E90" s="72" t="s">
        <v>23</v>
      </c>
      <c r="F90" s="117" t="s">
        <v>204</v>
      </c>
      <c r="G90" s="74">
        <v>105</v>
      </c>
      <c r="H90" s="83" t="s">
        <v>205</v>
      </c>
      <c r="I90" s="84">
        <f t="shared" si="12"/>
        <v>0.20538371247189524</v>
      </c>
      <c r="J90" s="76">
        <v>241952</v>
      </c>
      <c r="K90" s="40">
        <f>4576+45117</f>
        <v>49693</v>
      </c>
      <c r="L90" s="76">
        <v>84297</v>
      </c>
      <c r="M90" s="76">
        <f t="shared" si="10"/>
        <v>107962</v>
      </c>
      <c r="N90" s="73" t="s">
        <v>104</v>
      </c>
      <c r="O90" s="77">
        <v>7430999</v>
      </c>
      <c r="P90" s="78" t="s">
        <v>206</v>
      </c>
    </row>
    <row r="91" spans="1:16" s="118" customFormat="1" ht="77.25" customHeight="1">
      <c r="A91" s="44">
        <f t="shared" si="11"/>
        <v>82</v>
      </c>
      <c r="B91" s="119" t="s">
        <v>207</v>
      </c>
      <c r="C91" s="288" t="s">
        <v>41</v>
      </c>
      <c r="D91" s="153" t="s">
        <v>54</v>
      </c>
      <c r="E91" s="121" t="s">
        <v>23</v>
      </c>
      <c r="F91" s="122">
        <v>1371</v>
      </c>
      <c r="G91" s="74">
        <v>99</v>
      </c>
      <c r="H91" s="123">
        <v>0.14299999999999999</v>
      </c>
      <c r="I91" s="124">
        <f t="shared" si="12"/>
        <v>4.5500528726561941E-2</v>
      </c>
      <c r="J91" s="76">
        <v>7289212</v>
      </c>
      <c r="K91" s="125">
        <f>61977+269686</f>
        <v>331663</v>
      </c>
      <c r="L91" s="125">
        <v>639574</v>
      </c>
      <c r="M91" s="76">
        <f t="shared" si="10"/>
        <v>6317975</v>
      </c>
      <c r="N91" s="155" t="s">
        <v>24</v>
      </c>
      <c r="O91" s="127">
        <f>690.58*1000</f>
        <v>690580</v>
      </c>
      <c r="P91" s="128"/>
    </row>
    <row r="92" spans="1:16" s="145" customFormat="1" ht="247.5" customHeight="1">
      <c r="A92" s="44">
        <f t="shared" si="11"/>
        <v>83</v>
      </c>
      <c r="B92" s="116" t="s">
        <v>208</v>
      </c>
      <c r="C92" s="34" t="s">
        <v>41</v>
      </c>
      <c r="D92" s="73" t="s">
        <v>51</v>
      </c>
      <c r="E92" s="72" t="s">
        <v>23</v>
      </c>
      <c r="F92" s="117">
        <v>370</v>
      </c>
      <c r="G92" s="74">
        <v>104</v>
      </c>
      <c r="H92" s="37">
        <v>0.91669999999999996</v>
      </c>
      <c r="I92" s="37">
        <f t="shared" si="12"/>
        <v>0.96924307787419939</v>
      </c>
      <c r="J92" s="40">
        <v>219983</v>
      </c>
      <c r="K92" s="40">
        <f>213217+0</f>
        <v>213217</v>
      </c>
      <c r="L92" s="40">
        <v>1050</v>
      </c>
      <c r="M92" s="40">
        <f t="shared" si="10"/>
        <v>5716</v>
      </c>
      <c r="N92" s="72">
        <v>2023</v>
      </c>
      <c r="O92" s="217">
        <v>160000000</v>
      </c>
      <c r="P92" s="289" t="s">
        <v>209</v>
      </c>
    </row>
    <row r="93" spans="1:16" s="118" customFormat="1" ht="84" customHeight="1">
      <c r="A93" s="44">
        <f t="shared" si="11"/>
        <v>84</v>
      </c>
      <c r="B93" s="290" t="s">
        <v>210</v>
      </c>
      <c r="C93" s="120" t="s">
        <v>41</v>
      </c>
      <c r="D93" s="155" t="s">
        <v>54</v>
      </c>
      <c r="E93" s="120" t="s">
        <v>23</v>
      </c>
      <c r="F93" s="291">
        <v>1217</v>
      </c>
      <c r="G93" s="36">
        <v>115</v>
      </c>
      <c r="H93" s="124">
        <v>0.95589999999999997</v>
      </c>
      <c r="I93" s="124">
        <f t="shared" si="12"/>
        <v>0.68009829263808552</v>
      </c>
      <c r="J93" s="262">
        <v>3448478</v>
      </c>
      <c r="K93" s="132">
        <f>1469509+875795</f>
        <v>2345304</v>
      </c>
      <c r="L93" s="132">
        <v>436272</v>
      </c>
      <c r="M93" s="76">
        <f t="shared" si="10"/>
        <v>666902</v>
      </c>
      <c r="N93" s="292" t="s">
        <v>211</v>
      </c>
      <c r="O93" s="133">
        <v>477530000</v>
      </c>
      <c r="P93" s="293"/>
    </row>
    <row r="94" spans="1:16" s="43" customFormat="1" ht="106.5" customHeight="1">
      <c r="A94" s="44">
        <f t="shared" si="11"/>
        <v>85</v>
      </c>
      <c r="B94" s="116" t="s">
        <v>212</v>
      </c>
      <c r="C94" s="33" t="s">
        <v>107</v>
      </c>
      <c r="D94" s="73" t="s">
        <v>213</v>
      </c>
      <c r="E94" s="72" t="s">
        <v>23</v>
      </c>
      <c r="F94" s="117">
        <v>1107</v>
      </c>
      <c r="G94" s="74">
        <v>87</v>
      </c>
      <c r="H94" s="75">
        <v>0.27</v>
      </c>
      <c r="I94" s="37">
        <f t="shared" si="12"/>
        <v>0.20002518257365903</v>
      </c>
      <c r="J94" s="40">
        <v>119130</v>
      </c>
      <c r="K94" s="40">
        <v>23829</v>
      </c>
      <c r="L94" s="40">
        <v>34000</v>
      </c>
      <c r="M94" s="40">
        <f t="shared" si="10"/>
        <v>61301</v>
      </c>
      <c r="N94" s="73" t="s">
        <v>52</v>
      </c>
      <c r="O94" s="77">
        <f>7815000/4.8</f>
        <v>1628125</v>
      </c>
      <c r="P94" s="78" t="s">
        <v>214</v>
      </c>
    </row>
    <row r="95" spans="1:16" s="118" customFormat="1" ht="77.25" customHeight="1">
      <c r="A95" s="44">
        <f t="shared" si="11"/>
        <v>86</v>
      </c>
      <c r="B95" s="294" t="s">
        <v>215</v>
      </c>
      <c r="C95" s="120" t="s">
        <v>41</v>
      </c>
      <c r="D95" s="155" t="s">
        <v>54</v>
      </c>
      <c r="E95" s="130" t="s">
        <v>23</v>
      </c>
      <c r="F95" s="131">
        <v>718</v>
      </c>
      <c r="G95" s="74">
        <v>105</v>
      </c>
      <c r="H95" s="124">
        <v>0.58260000000000001</v>
      </c>
      <c r="I95" s="124">
        <f t="shared" si="12"/>
        <v>0.47154267689286417</v>
      </c>
      <c r="J95" s="76">
        <v>522449</v>
      </c>
      <c r="K95" s="125">
        <f>208751+37606</f>
        <v>246357</v>
      </c>
      <c r="L95" s="125">
        <v>46305</v>
      </c>
      <c r="M95" s="76">
        <f t="shared" si="10"/>
        <v>229787</v>
      </c>
      <c r="N95" s="295" t="s">
        <v>216</v>
      </c>
      <c r="O95" s="296">
        <v>478345930</v>
      </c>
      <c r="P95" s="283" t="s">
        <v>217</v>
      </c>
    </row>
    <row r="96" spans="1:16" s="304" customFormat="1" ht="100.5" customHeight="1">
      <c r="A96" s="44">
        <f t="shared" si="11"/>
        <v>87</v>
      </c>
      <c r="B96" s="259" t="s">
        <v>218</v>
      </c>
      <c r="C96" s="99" t="s">
        <v>41</v>
      </c>
      <c r="D96" s="297" t="s">
        <v>101</v>
      </c>
      <c r="E96" s="298" t="s">
        <v>23</v>
      </c>
      <c r="F96" s="299">
        <v>1002</v>
      </c>
      <c r="G96" s="151">
        <v>94</v>
      </c>
      <c r="H96" s="300">
        <v>0.99</v>
      </c>
      <c r="I96" s="300">
        <f t="shared" si="12"/>
        <v>0.80059391268416791</v>
      </c>
      <c r="J96" s="262">
        <v>1556121</v>
      </c>
      <c r="K96" s="262">
        <f>1245164+657</f>
        <v>1245821</v>
      </c>
      <c r="L96" s="262">
        <v>41839</v>
      </c>
      <c r="M96" s="76">
        <f t="shared" si="10"/>
        <v>268461</v>
      </c>
      <c r="N96" s="301">
        <v>2023</v>
      </c>
      <c r="O96" s="302">
        <f>1378331000/4.8</f>
        <v>287152291.66666669</v>
      </c>
      <c r="P96" s="303" t="s">
        <v>219</v>
      </c>
    </row>
    <row r="97" spans="1:26" s="43" customFormat="1" ht="95.25" customHeight="1">
      <c r="A97" s="44">
        <f t="shared" si="11"/>
        <v>88</v>
      </c>
      <c r="B97" s="249" t="s">
        <v>220</v>
      </c>
      <c r="C97" s="268" t="s">
        <v>107</v>
      </c>
      <c r="D97" s="177" t="s">
        <v>221</v>
      </c>
      <c r="E97" s="177" t="s">
        <v>23</v>
      </c>
      <c r="F97" s="250">
        <v>1107</v>
      </c>
      <c r="G97" s="234">
        <v>86</v>
      </c>
      <c r="H97" s="269">
        <v>0.28000000000000003</v>
      </c>
      <c r="I97" s="272">
        <f t="shared" si="12"/>
        <v>0.25871941697032796</v>
      </c>
      <c r="J97" s="252">
        <v>121023</v>
      </c>
      <c r="K97" s="252">
        <v>31311</v>
      </c>
      <c r="L97" s="252">
        <v>17000</v>
      </c>
      <c r="M97" s="40">
        <f t="shared" si="10"/>
        <v>72712</v>
      </c>
      <c r="N97" s="178" t="s">
        <v>74</v>
      </c>
      <c r="O97" s="253">
        <f>61525748/4.9</f>
        <v>12556275.102040816</v>
      </c>
      <c r="P97" s="273" t="s">
        <v>109</v>
      </c>
    </row>
    <row r="98" spans="1:26" s="43" customFormat="1" ht="77.25" customHeight="1">
      <c r="A98" s="44">
        <f t="shared" si="11"/>
        <v>89</v>
      </c>
      <c r="B98" s="116" t="s">
        <v>222</v>
      </c>
      <c r="C98" s="177" t="s">
        <v>223</v>
      </c>
      <c r="D98" s="73" t="s">
        <v>223</v>
      </c>
      <c r="E98" s="72" t="s">
        <v>23</v>
      </c>
      <c r="F98" s="72">
        <v>1376</v>
      </c>
      <c r="G98" s="74">
        <v>95</v>
      </c>
      <c r="H98" s="75">
        <v>0</v>
      </c>
      <c r="I98" s="37">
        <f t="shared" si="12"/>
        <v>3.5358489547242147E-2</v>
      </c>
      <c r="J98" s="40">
        <v>111119</v>
      </c>
      <c r="K98" s="40">
        <v>3929</v>
      </c>
      <c r="L98" s="40">
        <v>20000</v>
      </c>
      <c r="M98" s="40">
        <f t="shared" si="10"/>
        <v>87190</v>
      </c>
      <c r="N98" s="73" t="s">
        <v>74</v>
      </c>
      <c r="O98" s="77">
        <f>14477896.81/4.9</f>
        <v>2954672.8183673467</v>
      </c>
      <c r="P98" s="78"/>
    </row>
    <row r="99" spans="1:26" s="118" customFormat="1" ht="77.25" customHeight="1">
      <c r="A99" s="44">
        <f t="shared" si="11"/>
        <v>90</v>
      </c>
      <c r="B99" s="119" t="s">
        <v>224</v>
      </c>
      <c r="C99" s="120" t="s">
        <v>41</v>
      </c>
      <c r="D99" s="155" t="s">
        <v>54</v>
      </c>
      <c r="E99" s="121" t="s">
        <v>23</v>
      </c>
      <c r="F99" s="122">
        <v>1042</v>
      </c>
      <c r="G99" s="151">
        <v>91</v>
      </c>
      <c r="H99" s="123">
        <v>0.625</v>
      </c>
      <c r="I99" s="124">
        <v>0.29349999999999998</v>
      </c>
      <c r="J99" s="76">
        <v>453532</v>
      </c>
      <c r="K99" s="125">
        <v>133129</v>
      </c>
      <c r="L99" s="125">
        <v>111022</v>
      </c>
      <c r="M99" s="76">
        <f t="shared" si="10"/>
        <v>209381</v>
      </c>
      <c r="N99" s="305" t="s">
        <v>52</v>
      </c>
      <c r="O99" s="306">
        <v>167688000</v>
      </c>
      <c r="P99" s="307" t="s">
        <v>225</v>
      </c>
    </row>
    <row r="100" spans="1:26" s="114" customFormat="1" ht="77.25" customHeight="1">
      <c r="A100" s="44">
        <f t="shared" si="11"/>
        <v>91</v>
      </c>
      <c r="B100" s="308" t="s">
        <v>226</v>
      </c>
      <c r="C100" s="309" t="s">
        <v>41</v>
      </c>
      <c r="D100" s="309" t="s">
        <v>227</v>
      </c>
      <c r="E100" s="309" t="s">
        <v>29</v>
      </c>
      <c r="F100" s="310">
        <v>1505</v>
      </c>
      <c r="G100" s="311">
        <v>93</v>
      </c>
      <c r="H100" s="312">
        <v>0.20100000000000001</v>
      </c>
      <c r="I100" s="313">
        <f>0</f>
        <v>0</v>
      </c>
      <c r="J100" s="314">
        <v>13691849</v>
      </c>
      <c r="K100" s="315">
        <f>0</f>
        <v>0</v>
      </c>
      <c r="L100" s="316">
        <v>35000</v>
      </c>
      <c r="M100" s="103">
        <f t="shared" si="10"/>
        <v>13656849</v>
      </c>
      <c r="N100" s="104">
        <v>2030</v>
      </c>
      <c r="O100" s="317">
        <f>1893.3*1000000</f>
        <v>1893300000</v>
      </c>
      <c r="P100" s="318">
        <v>35000</v>
      </c>
      <c r="Q100" s="107">
        <v>13656849</v>
      </c>
      <c r="R100" s="319">
        <v>2019000</v>
      </c>
      <c r="S100" s="319">
        <v>2054000</v>
      </c>
      <c r="T100" s="319">
        <v>2738000</v>
      </c>
      <c r="U100" s="109">
        <v>6845849</v>
      </c>
      <c r="V100" s="320">
        <v>2030</v>
      </c>
      <c r="W100" s="111"/>
      <c r="X100" s="112"/>
      <c r="Y100" s="112"/>
      <c r="Z100" s="113"/>
    </row>
    <row r="101" spans="1:26" s="145" customFormat="1" ht="79.5" customHeight="1">
      <c r="A101" s="44">
        <f t="shared" si="11"/>
        <v>92</v>
      </c>
      <c r="B101" s="116" t="s">
        <v>228</v>
      </c>
      <c r="C101" s="34" t="s">
        <v>41</v>
      </c>
      <c r="D101" s="73" t="s">
        <v>229</v>
      </c>
      <c r="E101" s="72" t="s">
        <v>23</v>
      </c>
      <c r="F101" s="117">
        <v>828</v>
      </c>
      <c r="G101" s="74">
        <v>74</v>
      </c>
      <c r="H101" s="37">
        <v>0</v>
      </c>
      <c r="I101" s="37">
        <f>K101/J101</f>
        <v>8.0324166429514302E-2</v>
      </c>
      <c r="J101" s="76">
        <v>6433979</v>
      </c>
      <c r="K101" s="40">
        <f>136304+380500</f>
        <v>516804</v>
      </c>
      <c r="L101" s="76">
        <v>686293</v>
      </c>
      <c r="M101" s="76">
        <f t="shared" si="10"/>
        <v>5230882</v>
      </c>
      <c r="N101" s="73" t="s">
        <v>66</v>
      </c>
      <c r="O101" s="217">
        <f>1463.83*1000000</f>
        <v>1463830000</v>
      </c>
      <c r="P101" s="42" t="s">
        <v>230</v>
      </c>
    </row>
    <row r="102" spans="1:26" s="145" customFormat="1" ht="77.25" customHeight="1">
      <c r="A102" s="44">
        <f t="shared" si="11"/>
        <v>93</v>
      </c>
      <c r="B102" s="135" t="s">
        <v>231</v>
      </c>
      <c r="C102" s="138" t="s">
        <v>60</v>
      </c>
      <c r="D102" s="137" t="s">
        <v>232</v>
      </c>
      <c r="E102" s="138" t="s">
        <v>23</v>
      </c>
      <c r="F102" s="138">
        <v>1139</v>
      </c>
      <c r="G102" s="74">
        <v>90</v>
      </c>
      <c r="H102" s="321">
        <v>0</v>
      </c>
      <c r="I102" s="141">
        <v>2.5999999999999998E-4</v>
      </c>
      <c r="J102" s="142">
        <v>511628</v>
      </c>
      <c r="K102" s="142">
        <v>740</v>
      </c>
      <c r="L102" s="142">
        <v>12322</v>
      </c>
      <c r="M102" s="142">
        <f t="shared" si="10"/>
        <v>498566</v>
      </c>
      <c r="N102" s="137" t="s">
        <v>74</v>
      </c>
      <c r="O102" s="143">
        <f>3081486730/4.8</f>
        <v>641976402.08333337</v>
      </c>
      <c r="P102" s="286"/>
    </row>
    <row r="103" spans="1:26" s="43" customFormat="1" ht="102.75" customHeight="1">
      <c r="A103" s="44">
        <f t="shared" si="11"/>
        <v>94</v>
      </c>
      <c r="B103" s="249" t="s">
        <v>233</v>
      </c>
      <c r="C103" s="268" t="s">
        <v>107</v>
      </c>
      <c r="D103" s="177" t="s">
        <v>234</v>
      </c>
      <c r="E103" s="177" t="s">
        <v>29</v>
      </c>
      <c r="F103" s="250">
        <v>1108</v>
      </c>
      <c r="G103" s="234">
        <v>75</v>
      </c>
      <c r="H103" s="269">
        <v>0</v>
      </c>
      <c r="I103" s="272">
        <v>0</v>
      </c>
      <c r="J103" s="252">
        <v>642051</v>
      </c>
      <c r="K103" s="252">
        <v>0</v>
      </c>
      <c r="L103" s="252">
        <v>25000</v>
      </c>
      <c r="M103" s="40">
        <f t="shared" si="10"/>
        <v>617051</v>
      </c>
      <c r="N103" s="178" t="s">
        <v>24</v>
      </c>
      <c r="O103" s="253">
        <f>491652633/4.9</f>
        <v>100337272.04081632</v>
      </c>
      <c r="P103" s="273" t="s">
        <v>171</v>
      </c>
    </row>
    <row r="104" spans="1:26" s="43" customFormat="1" ht="77.25" customHeight="1">
      <c r="A104" s="44">
        <f t="shared" si="11"/>
        <v>95</v>
      </c>
      <c r="B104" s="249" t="s">
        <v>235</v>
      </c>
      <c r="C104" s="268" t="s">
        <v>223</v>
      </c>
      <c r="D104" s="177" t="s">
        <v>223</v>
      </c>
      <c r="E104" s="177" t="s">
        <v>23</v>
      </c>
      <c r="F104" s="117">
        <v>1445</v>
      </c>
      <c r="G104" s="234">
        <v>77</v>
      </c>
      <c r="H104" s="269">
        <v>0</v>
      </c>
      <c r="I104" s="272">
        <f>K104/J104</f>
        <v>1.1744518589132508E-3</v>
      </c>
      <c r="J104" s="252">
        <v>262250</v>
      </c>
      <c r="K104" s="252">
        <v>308</v>
      </c>
      <c r="L104" s="252">
        <v>50000</v>
      </c>
      <c r="M104" s="40">
        <f t="shared" si="10"/>
        <v>211942</v>
      </c>
      <c r="N104" s="178" t="s">
        <v>24</v>
      </c>
      <c r="O104" s="253">
        <f>45584946/4.9</f>
        <v>9303050.2040816322</v>
      </c>
      <c r="P104" s="273" t="s">
        <v>236</v>
      </c>
    </row>
    <row r="105" spans="1:26" s="43" customFormat="1" ht="77.25" customHeight="1">
      <c r="A105" s="44">
        <f t="shared" si="11"/>
        <v>96</v>
      </c>
      <c r="B105" s="32" t="s">
        <v>237</v>
      </c>
      <c r="C105" s="33" t="s">
        <v>21</v>
      </c>
      <c r="D105" s="33" t="s">
        <v>22</v>
      </c>
      <c r="E105" s="34" t="s">
        <v>23</v>
      </c>
      <c r="F105" s="35">
        <v>1279</v>
      </c>
      <c r="G105" s="36">
        <v>75</v>
      </c>
      <c r="H105" s="37">
        <v>0</v>
      </c>
      <c r="I105" s="37">
        <f>K105/J105</f>
        <v>1.7292448894451397E-2</v>
      </c>
      <c r="J105" s="40">
        <v>95880</v>
      </c>
      <c r="K105" s="40">
        <v>1658</v>
      </c>
      <c r="L105" s="40">
        <v>2000</v>
      </c>
      <c r="M105" s="40">
        <f t="shared" si="10"/>
        <v>92222</v>
      </c>
      <c r="N105" s="33" t="s">
        <v>52</v>
      </c>
      <c r="O105" s="38">
        <f>37133000/4.8</f>
        <v>7736041.666666667</v>
      </c>
      <c r="P105" s="322" t="s">
        <v>238</v>
      </c>
    </row>
    <row r="106" spans="1:26" s="118" customFormat="1" ht="84.75" customHeight="1">
      <c r="A106" s="44">
        <f t="shared" si="11"/>
        <v>97</v>
      </c>
      <c r="B106" s="323" t="s">
        <v>239</v>
      </c>
      <c r="C106" s="120" t="s">
        <v>41</v>
      </c>
      <c r="D106" s="155" t="s">
        <v>54</v>
      </c>
      <c r="E106" s="324" t="s">
        <v>23</v>
      </c>
      <c r="F106" s="280">
        <v>371</v>
      </c>
      <c r="G106" s="74">
        <v>89</v>
      </c>
      <c r="H106" s="325">
        <v>0.53</v>
      </c>
      <c r="I106" s="325">
        <f>K106/J106</f>
        <v>0.15093487589999899</v>
      </c>
      <c r="J106" s="326">
        <v>4238477</v>
      </c>
      <c r="K106" s="132">
        <f>101507+538227</f>
        <v>639734</v>
      </c>
      <c r="L106" s="132">
        <v>491881</v>
      </c>
      <c r="M106" s="125">
        <f t="shared" ref="M106:M137" si="13">J106-K106-L106</f>
        <v>3106862</v>
      </c>
      <c r="N106" s="327" t="s">
        <v>240</v>
      </c>
      <c r="O106" s="133">
        <v>124590000</v>
      </c>
      <c r="P106" s="283"/>
    </row>
    <row r="107" spans="1:26" s="118" customFormat="1" ht="77.25" customHeight="1">
      <c r="A107" s="44">
        <f t="shared" ref="A107:A138" si="14">A106+1</f>
        <v>98</v>
      </c>
      <c r="B107" s="119" t="s">
        <v>241</v>
      </c>
      <c r="C107" s="120" t="s">
        <v>41</v>
      </c>
      <c r="D107" s="121" t="s">
        <v>54</v>
      </c>
      <c r="E107" s="121" t="s">
        <v>23</v>
      </c>
      <c r="F107" s="122">
        <v>1287</v>
      </c>
      <c r="G107" s="74">
        <v>85</v>
      </c>
      <c r="H107" s="123">
        <v>0</v>
      </c>
      <c r="I107" s="124">
        <f>K107/J107</f>
        <v>6.178826472339453E-5</v>
      </c>
      <c r="J107" s="274">
        <v>2136328</v>
      </c>
      <c r="K107" s="76">
        <f>132</f>
        <v>132</v>
      </c>
      <c r="L107" s="76">
        <v>462432</v>
      </c>
      <c r="M107" s="76">
        <f t="shared" si="13"/>
        <v>1673764</v>
      </c>
      <c r="N107" s="328" t="s">
        <v>242</v>
      </c>
      <c r="O107" s="306">
        <f>2644*1000000</f>
        <v>2644000000</v>
      </c>
      <c r="P107" s="283"/>
    </row>
    <row r="108" spans="1:26" s="118" customFormat="1" ht="77.25" customHeight="1">
      <c r="A108" s="44">
        <f t="shared" si="14"/>
        <v>99</v>
      </c>
      <c r="B108" s="119" t="s">
        <v>243</v>
      </c>
      <c r="C108" s="120" t="s">
        <v>41</v>
      </c>
      <c r="D108" s="155" t="s">
        <v>54</v>
      </c>
      <c r="E108" s="121" t="s">
        <v>23</v>
      </c>
      <c r="F108" s="122">
        <v>1324</v>
      </c>
      <c r="G108" s="74">
        <v>104</v>
      </c>
      <c r="H108" s="123">
        <v>0</v>
      </c>
      <c r="I108" s="124">
        <v>1.8E-3</v>
      </c>
      <c r="J108" s="76">
        <v>195355</v>
      </c>
      <c r="K108" s="125">
        <f>290+69</f>
        <v>359</v>
      </c>
      <c r="L108" s="125">
        <v>39577</v>
      </c>
      <c r="M108" s="76">
        <f t="shared" si="13"/>
        <v>155419</v>
      </c>
      <c r="N108" s="155" t="s">
        <v>52</v>
      </c>
      <c r="O108" s="127">
        <f>239179*1000</f>
        <v>239179000</v>
      </c>
      <c r="P108" s="128"/>
    </row>
    <row r="109" spans="1:26" s="43" customFormat="1" ht="77.25" customHeight="1">
      <c r="A109" s="44">
        <f t="shared" si="14"/>
        <v>100</v>
      </c>
      <c r="B109" s="119" t="s">
        <v>244</v>
      </c>
      <c r="C109" s="34" t="s">
        <v>41</v>
      </c>
      <c r="D109" s="73" t="s">
        <v>54</v>
      </c>
      <c r="E109" s="72" t="s">
        <v>23</v>
      </c>
      <c r="F109" s="117">
        <v>1356</v>
      </c>
      <c r="G109" s="74">
        <v>100</v>
      </c>
      <c r="H109" s="75">
        <v>0</v>
      </c>
      <c r="I109" s="37">
        <f>K109/J109</f>
        <v>6.0071867798202216E-5</v>
      </c>
      <c r="J109" s="40">
        <v>183114</v>
      </c>
      <c r="K109" s="40">
        <f>11</f>
        <v>11</v>
      </c>
      <c r="L109" s="40">
        <v>36</v>
      </c>
      <c r="M109" s="40">
        <f t="shared" si="13"/>
        <v>183067</v>
      </c>
      <c r="N109" s="73" t="s">
        <v>66</v>
      </c>
      <c r="O109" s="77">
        <f>179983.04*1000</f>
        <v>179983040</v>
      </c>
      <c r="P109" s="78"/>
    </row>
    <row r="110" spans="1:26" s="118" customFormat="1" ht="77.25" customHeight="1">
      <c r="A110" s="44">
        <f t="shared" si="14"/>
        <v>101</v>
      </c>
      <c r="B110" s="119" t="s">
        <v>245</v>
      </c>
      <c r="C110" s="120" t="s">
        <v>41</v>
      </c>
      <c r="D110" s="155" t="s">
        <v>54</v>
      </c>
      <c r="E110" s="121" t="s">
        <v>23</v>
      </c>
      <c r="F110" s="122">
        <v>1317</v>
      </c>
      <c r="G110" s="74">
        <v>110</v>
      </c>
      <c r="H110" s="123">
        <v>0.33539999999999998</v>
      </c>
      <c r="I110" s="124">
        <f>K110/J110</f>
        <v>0.16364874293817103</v>
      </c>
      <c r="J110" s="76">
        <v>355432</v>
      </c>
      <c r="K110" s="125">
        <f>1132+57034</f>
        <v>58166</v>
      </c>
      <c r="L110" s="125">
        <v>91001</v>
      </c>
      <c r="M110" s="76">
        <f t="shared" si="13"/>
        <v>206265</v>
      </c>
      <c r="N110" s="297" t="s">
        <v>104</v>
      </c>
      <c r="O110" s="127">
        <f>105098*1000</f>
        <v>105098000</v>
      </c>
      <c r="P110" s="128"/>
    </row>
    <row r="111" spans="1:26" s="43" customFormat="1" ht="77.25" customHeight="1">
      <c r="A111" s="44">
        <f t="shared" si="14"/>
        <v>102</v>
      </c>
      <c r="B111" s="116" t="s">
        <v>246</v>
      </c>
      <c r="C111" s="72" t="s">
        <v>223</v>
      </c>
      <c r="D111" s="73" t="s">
        <v>223</v>
      </c>
      <c r="E111" s="72" t="s">
        <v>23</v>
      </c>
      <c r="F111" s="72">
        <v>1375</v>
      </c>
      <c r="G111" s="74">
        <v>95</v>
      </c>
      <c r="H111" s="75">
        <v>0</v>
      </c>
      <c r="I111" s="37">
        <f>K111/J111</f>
        <v>2.209928362724886E-3</v>
      </c>
      <c r="J111" s="40">
        <v>134846</v>
      </c>
      <c r="K111" s="40">
        <v>298</v>
      </c>
      <c r="L111" s="40">
        <v>7500</v>
      </c>
      <c r="M111" s="40">
        <f t="shared" si="13"/>
        <v>127048</v>
      </c>
      <c r="N111" s="73" t="s">
        <v>24</v>
      </c>
      <c r="O111" s="77">
        <f>252149972/4.9</f>
        <v>51459177.959183671</v>
      </c>
      <c r="P111" s="78"/>
    </row>
    <row r="112" spans="1:26" s="118" customFormat="1" ht="77.25" customHeight="1">
      <c r="A112" s="44">
        <f t="shared" si="14"/>
        <v>103</v>
      </c>
      <c r="B112" s="116" t="s">
        <v>247</v>
      </c>
      <c r="C112" s="34" t="s">
        <v>41</v>
      </c>
      <c r="D112" s="73" t="s">
        <v>54</v>
      </c>
      <c r="E112" s="72" t="s">
        <v>23</v>
      </c>
      <c r="F112" s="117">
        <v>1297</v>
      </c>
      <c r="G112" s="74">
        <v>108</v>
      </c>
      <c r="H112" s="75">
        <v>0.91</v>
      </c>
      <c r="I112" s="37">
        <f>K112/J112</f>
        <v>0.65553987035920858</v>
      </c>
      <c r="J112" s="76">
        <v>378276</v>
      </c>
      <c r="K112" s="40">
        <f>48570+199405</f>
        <v>247975</v>
      </c>
      <c r="L112" s="76">
        <v>38072</v>
      </c>
      <c r="M112" s="76">
        <f t="shared" si="13"/>
        <v>92229</v>
      </c>
      <c r="N112" s="297" t="s">
        <v>248</v>
      </c>
      <c r="O112" s="77">
        <v>12135864</v>
      </c>
      <c r="P112" s="78"/>
    </row>
    <row r="113" spans="1:16" s="118" customFormat="1" ht="77.25" customHeight="1">
      <c r="A113" s="44">
        <f t="shared" si="14"/>
        <v>104</v>
      </c>
      <c r="B113" s="266" t="s">
        <v>249</v>
      </c>
      <c r="C113" s="34" t="s">
        <v>41</v>
      </c>
      <c r="D113" s="73" t="s">
        <v>54</v>
      </c>
      <c r="E113" s="329" t="s">
        <v>23</v>
      </c>
      <c r="F113" s="330">
        <v>1225</v>
      </c>
      <c r="G113" s="36">
        <v>110</v>
      </c>
      <c r="H113" s="37">
        <v>0.64</v>
      </c>
      <c r="I113" s="37">
        <f>K113/J113</f>
        <v>0.53754276470395346</v>
      </c>
      <c r="J113" s="262">
        <v>365956</v>
      </c>
      <c r="K113" s="38">
        <f>57340+139377</f>
        <v>196717</v>
      </c>
      <c r="L113" s="38">
        <v>136530</v>
      </c>
      <c r="M113" s="76">
        <f t="shared" si="13"/>
        <v>32709</v>
      </c>
      <c r="N113" s="301" t="s">
        <v>250</v>
      </c>
      <c r="O113" s="217">
        <v>2866695</v>
      </c>
      <c r="P113" s="42"/>
    </row>
    <row r="114" spans="1:16" s="43" customFormat="1" ht="77.25" customHeight="1">
      <c r="A114" s="44">
        <f t="shared" si="14"/>
        <v>105</v>
      </c>
      <c r="B114" s="116" t="s">
        <v>251</v>
      </c>
      <c r="C114" s="34" t="s">
        <v>41</v>
      </c>
      <c r="D114" s="73" t="s">
        <v>54</v>
      </c>
      <c r="E114" s="72" t="s">
        <v>29</v>
      </c>
      <c r="F114" s="117" t="s">
        <v>139</v>
      </c>
      <c r="G114" s="74">
        <v>80</v>
      </c>
      <c r="H114" s="75">
        <v>0</v>
      </c>
      <c r="I114" s="37">
        <v>0</v>
      </c>
      <c r="J114" s="40">
        <v>392160</v>
      </c>
      <c r="K114" s="40">
        <v>0</v>
      </c>
      <c r="L114" s="40">
        <v>0</v>
      </c>
      <c r="M114" s="40">
        <f t="shared" si="13"/>
        <v>392160</v>
      </c>
      <c r="N114" s="331" t="s">
        <v>52</v>
      </c>
      <c r="O114" s="77">
        <f>181207*1000</f>
        <v>181207000</v>
      </c>
      <c r="P114" s="78" t="s">
        <v>252</v>
      </c>
    </row>
    <row r="115" spans="1:16" s="145" customFormat="1" ht="77.25" customHeight="1">
      <c r="A115" s="44">
        <f t="shared" si="14"/>
        <v>106</v>
      </c>
      <c r="B115" s="332" t="s">
        <v>253</v>
      </c>
      <c r="C115" s="34" t="s">
        <v>41</v>
      </c>
      <c r="D115" s="73" t="s">
        <v>51</v>
      </c>
      <c r="E115" s="333" t="s">
        <v>23</v>
      </c>
      <c r="F115" s="334" t="s">
        <v>254</v>
      </c>
      <c r="G115" s="36">
        <v>102</v>
      </c>
      <c r="H115" s="37" t="s">
        <v>255</v>
      </c>
      <c r="I115" s="37">
        <f t="shared" ref="I115:I121" si="15">K115/J115</f>
        <v>4.638187179685975E-2</v>
      </c>
      <c r="J115" s="38">
        <v>374047</v>
      </c>
      <c r="K115" s="38">
        <f>4378+12971</f>
        <v>17349</v>
      </c>
      <c r="L115" s="38">
        <v>22255</v>
      </c>
      <c r="M115" s="40">
        <f t="shared" si="13"/>
        <v>334443</v>
      </c>
      <c r="N115" s="117">
        <v>2029</v>
      </c>
      <c r="O115" s="41">
        <v>82740000</v>
      </c>
      <c r="P115" s="42"/>
    </row>
    <row r="116" spans="1:16" s="145" customFormat="1" ht="124.5" customHeight="1">
      <c r="A116" s="44">
        <f t="shared" si="14"/>
        <v>107</v>
      </c>
      <c r="B116" s="116" t="s">
        <v>256</v>
      </c>
      <c r="C116" s="34" t="s">
        <v>41</v>
      </c>
      <c r="D116" s="72" t="s">
        <v>51</v>
      </c>
      <c r="E116" s="72" t="s">
        <v>23</v>
      </c>
      <c r="F116" s="117">
        <v>16702</v>
      </c>
      <c r="G116" s="74">
        <v>98</v>
      </c>
      <c r="H116" s="75" t="s">
        <v>257</v>
      </c>
      <c r="I116" s="37">
        <f t="shared" si="15"/>
        <v>4.3918918918918921E-2</v>
      </c>
      <c r="J116" s="40">
        <v>780256</v>
      </c>
      <c r="K116" s="40">
        <v>34268</v>
      </c>
      <c r="L116" s="40">
        <v>63965</v>
      </c>
      <c r="M116" s="40">
        <f t="shared" si="13"/>
        <v>682023</v>
      </c>
      <c r="N116" s="73" t="s">
        <v>74</v>
      </c>
      <c r="O116" s="217">
        <f>490681494/4.8</f>
        <v>102225311.25</v>
      </c>
      <c r="P116" s="335" t="s">
        <v>258</v>
      </c>
    </row>
    <row r="117" spans="1:16" s="118" customFormat="1" ht="77.25" customHeight="1">
      <c r="A117" s="44">
        <f t="shared" si="14"/>
        <v>108</v>
      </c>
      <c r="B117" s="336" t="s">
        <v>259</v>
      </c>
      <c r="C117" s="34" t="s">
        <v>41</v>
      </c>
      <c r="D117" s="73" t="s">
        <v>54</v>
      </c>
      <c r="E117" s="329" t="s">
        <v>23</v>
      </c>
      <c r="F117" s="330">
        <v>1163</v>
      </c>
      <c r="G117" s="36">
        <v>110</v>
      </c>
      <c r="H117" s="37">
        <v>0.6</v>
      </c>
      <c r="I117" s="37">
        <f t="shared" si="15"/>
        <v>0.35417735506531434</v>
      </c>
      <c r="J117" s="262">
        <v>202712</v>
      </c>
      <c r="K117" s="262">
        <f>37802+33994</f>
        <v>71796</v>
      </c>
      <c r="L117" s="38">
        <v>71661</v>
      </c>
      <c r="M117" s="76">
        <f t="shared" si="13"/>
        <v>59255</v>
      </c>
      <c r="N117" s="72" t="s">
        <v>260</v>
      </c>
      <c r="O117" s="217">
        <v>102170</v>
      </c>
      <c r="P117" s="42"/>
    </row>
    <row r="118" spans="1:16" s="43" customFormat="1" ht="77.25" customHeight="1">
      <c r="A118" s="44">
        <f t="shared" si="14"/>
        <v>109</v>
      </c>
      <c r="B118" s="337" t="s">
        <v>261</v>
      </c>
      <c r="C118" s="33" t="s">
        <v>21</v>
      </c>
      <c r="D118" s="73" t="s">
        <v>22</v>
      </c>
      <c r="E118" s="177" t="s">
        <v>23</v>
      </c>
      <c r="F118" s="177">
        <v>298</v>
      </c>
      <c r="G118" s="338">
        <v>78</v>
      </c>
      <c r="H118" s="272">
        <v>0.50700000000000001</v>
      </c>
      <c r="I118" s="272">
        <f t="shared" si="15"/>
        <v>0.50748072967173141</v>
      </c>
      <c r="J118" s="252">
        <v>765166</v>
      </c>
      <c r="K118" s="252">
        <v>388307</v>
      </c>
      <c r="L118" s="252">
        <v>0</v>
      </c>
      <c r="M118" s="40">
        <f t="shared" si="13"/>
        <v>376859</v>
      </c>
      <c r="N118" s="250">
        <v>2027</v>
      </c>
      <c r="O118" s="253">
        <v>429604</v>
      </c>
      <c r="P118" s="78" t="s">
        <v>262</v>
      </c>
    </row>
    <row r="119" spans="1:16" s="43" customFormat="1" ht="77.25" customHeight="1">
      <c r="A119" s="44">
        <f t="shared" si="14"/>
        <v>110</v>
      </c>
      <c r="B119" s="339" t="s">
        <v>263</v>
      </c>
      <c r="C119" s="33" t="s">
        <v>21</v>
      </c>
      <c r="D119" s="73" t="s">
        <v>22</v>
      </c>
      <c r="E119" s="72" t="s">
        <v>23</v>
      </c>
      <c r="F119" s="117">
        <v>277</v>
      </c>
      <c r="G119" s="74">
        <v>89</v>
      </c>
      <c r="H119" s="37">
        <v>0.85</v>
      </c>
      <c r="I119" s="37">
        <f t="shared" si="15"/>
        <v>0.83342633019894097</v>
      </c>
      <c r="J119" s="40">
        <v>460589</v>
      </c>
      <c r="K119" s="40">
        <v>383867</v>
      </c>
      <c r="L119" s="40">
        <v>11050</v>
      </c>
      <c r="M119" s="40">
        <f t="shared" si="13"/>
        <v>65672</v>
      </c>
      <c r="N119" s="72">
        <v>2027</v>
      </c>
      <c r="O119" s="217" t="s">
        <v>264</v>
      </c>
      <c r="P119" s="42"/>
    </row>
    <row r="120" spans="1:16" s="118" customFormat="1" ht="77.25" customHeight="1">
      <c r="A120" s="44">
        <f t="shared" si="14"/>
        <v>111</v>
      </c>
      <c r="B120" s="340" t="s">
        <v>265</v>
      </c>
      <c r="C120" s="34" t="s">
        <v>41</v>
      </c>
      <c r="D120" s="73" t="s">
        <v>54</v>
      </c>
      <c r="E120" s="329" t="s">
        <v>23</v>
      </c>
      <c r="F120" s="330">
        <v>1188</v>
      </c>
      <c r="G120" s="36">
        <v>73</v>
      </c>
      <c r="H120" s="37">
        <v>0.69310000000000005</v>
      </c>
      <c r="I120" s="37">
        <f t="shared" si="15"/>
        <v>0.6529976561722306</v>
      </c>
      <c r="J120" s="262">
        <v>4972635</v>
      </c>
      <c r="K120" s="38">
        <f>2003364+1243755</f>
        <v>3247119</v>
      </c>
      <c r="L120" s="38">
        <v>584973</v>
      </c>
      <c r="M120" s="76">
        <f t="shared" si="13"/>
        <v>1140543</v>
      </c>
      <c r="N120" s="263" t="s">
        <v>266</v>
      </c>
      <c r="O120" s="341">
        <v>10.6</v>
      </c>
      <c r="P120" s="42"/>
    </row>
    <row r="121" spans="1:16" s="118" customFormat="1" ht="77.25" customHeight="1">
      <c r="A121" s="44">
        <f t="shared" si="14"/>
        <v>112</v>
      </c>
      <c r="B121" s="219" t="s">
        <v>267</v>
      </c>
      <c r="C121" s="34" t="s">
        <v>41</v>
      </c>
      <c r="D121" s="72" t="s">
        <v>54</v>
      </c>
      <c r="E121" s="72" t="s">
        <v>23</v>
      </c>
      <c r="F121" s="117">
        <v>1288</v>
      </c>
      <c r="G121" s="74">
        <v>88</v>
      </c>
      <c r="H121" s="173">
        <v>0.2432</v>
      </c>
      <c r="I121" s="37">
        <f t="shared" si="15"/>
        <v>0.27702016315222411</v>
      </c>
      <c r="J121" s="76">
        <v>259880</v>
      </c>
      <c r="K121" s="40">
        <f>60618+11374</f>
        <v>71992</v>
      </c>
      <c r="L121" s="40">
        <v>95319</v>
      </c>
      <c r="M121" s="76">
        <f t="shared" si="13"/>
        <v>92569</v>
      </c>
      <c r="N121" s="305" t="s">
        <v>24</v>
      </c>
      <c r="O121" s="77">
        <v>313728175</v>
      </c>
      <c r="P121" s="285" t="s">
        <v>268</v>
      </c>
    </row>
    <row r="122" spans="1:16" s="43" customFormat="1" ht="77.25" customHeight="1">
      <c r="A122" s="44">
        <f t="shared" si="14"/>
        <v>113</v>
      </c>
      <c r="B122" s="219" t="s">
        <v>269</v>
      </c>
      <c r="C122" s="34" t="s">
        <v>41</v>
      </c>
      <c r="D122" s="73" t="s">
        <v>54</v>
      </c>
      <c r="E122" s="72" t="s">
        <v>29</v>
      </c>
      <c r="F122" s="117" t="s">
        <v>139</v>
      </c>
      <c r="G122" s="74">
        <v>82</v>
      </c>
      <c r="H122" s="75">
        <v>0</v>
      </c>
      <c r="I122" s="37">
        <v>0</v>
      </c>
      <c r="J122" s="40">
        <v>366008</v>
      </c>
      <c r="K122" s="40">
        <v>0</v>
      </c>
      <c r="L122" s="40">
        <v>0</v>
      </c>
      <c r="M122" s="40">
        <f t="shared" si="13"/>
        <v>366008</v>
      </c>
      <c r="N122" s="73" t="s">
        <v>52</v>
      </c>
      <c r="O122" s="77">
        <f>146.6*1000</f>
        <v>146600</v>
      </c>
      <c r="P122" s="78"/>
    </row>
    <row r="123" spans="1:16" s="118" customFormat="1" ht="77.25" customHeight="1">
      <c r="A123" s="44">
        <f t="shared" si="14"/>
        <v>114</v>
      </c>
      <c r="B123" s="219" t="s">
        <v>270</v>
      </c>
      <c r="C123" s="34" t="s">
        <v>41</v>
      </c>
      <c r="D123" s="73" t="s">
        <v>54</v>
      </c>
      <c r="E123" s="72" t="s">
        <v>23</v>
      </c>
      <c r="F123" s="117">
        <v>983</v>
      </c>
      <c r="G123" s="36">
        <v>106</v>
      </c>
      <c r="H123" s="248">
        <v>0.74</v>
      </c>
      <c r="I123" s="37">
        <f>K123/J123</f>
        <v>0.53880079830817262</v>
      </c>
      <c r="J123" s="76">
        <v>873848</v>
      </c>
      <c r="K123" s="40">
        <f>391108+79722</f>
        <v>470830</v>
      </c>
      <c r="L123" s="40">
        <v>91161</v>
      </c>
      <c r="M123" s="76">
        <f t="shared" si="13"/>
        <v>311857</v>
      </c>
      <c r="N123" s="342" t="s">
        <v>271</v>
      </c>
      <c r="O123" s="41">
        <v>156750000</v>
      </c>
      <c r="P123" s="42"/>
    </row>
    <row r="124" spans="1:16" s="43" customFormat="1" ht="77.25" customHeight="1">
      <c r="A124" s="44">
        <f t="shared" si="14"/>
        <v>115</v>
      </c>
      <c r="B124" s="219" t="s">
        <v>272</v>
      </c>
      <c r="C124" s="34" t="s">
        <v>41</v>
      </c>
      <c r="D124" s="73" t="s">
        <v>54</v>
      </c>
      <c r="E124" s="72" t="s">
        <v>23</v>
      </c>
      <c r="F124" s="117">
        <v>369</v>
      </c>
      <c r="G124" s="36">
        <v>77</v>
      </c>
      <c r="H124" s="343">
        <v>0.5373</v>
      </c>
      <c r="I124" s="37">
        <f>K124/J124</f>
        <v>0.38824870766150116</v>
      </c>
      <c r="J124" s="40">
        <v>698153</v>
      </c>
      <c r="K124" s="344">
        <f>255415+15642</f>
        <v>271057</v>
      </c>
      <c r="L124" s="344">
        <v>89820</v>
      </c>
      <c r="M124" s="40">
        <f t="shared" si="13"/>
        <v>337276</v>
      </c>
      <c r="N124" s="345" t="s">
        <v>273</v>
      </c>
      <c r="O124" s="346" t="s">
        <v>274</v>
      </c>
      <c r="P124" s="347"/>
    </row>
    <row r="125" spans="1:16" s="118" customFormat="1" ht="305.25" customHeight="1">
      <c r="A125" s="44">
        <f t="shared" si="14"/>
        <v>116</v>
      </c>
      <c r="B125" s="119" t="s">
        <v>275</v>
      </c>
      <c r="C125" s="34" t="s">
        <v>41</v>
      </c>
      <c r="D125" s="73" t="s">
        <v>54</v>
      </c>
      <c r="E125" s="34" t="s">
        <v>23</v>
      </c>
      <c r="F125" s="348">
        <v>415</v>
      </c>
      <c r="G125" s="349">
        <v>70</v>
      </c>
      <c r="H125" s="300">
        <v>0.75</v>
      </c>
      <c r="I125" s="248">
        <f>K125/J125</f>
        <v>0.36251474073921341</v>
      </c>
      <c r="J125" s="262">
        <v>29536341</v>
      </c>
      <c r="K125" s="38">
        <f>9267430+1439929</f>
        <v>10707359</v>
      </c>
      <c r="L125" s="38">
        <v>1474914</v>
      </c>
      <c r="M125" s="40">
        <f t="shared" si="13"/>
        <v>17354068</v>
      </c>
      <c r="N125" s="350" t="s">
        <v>276</v>
      </c>
      <c r="O125" s="351">
        <v>15.7</v>
      </c>
      <c r="P125" s="78"/>
    </row>
    <row r="126" spans="1:16" s="43" customFormat="1" ht="89.25" customHeight="1">
      <c r="A126" s="44">
        <f t="shared" si="14"/>
        <v>117</v>
      </c>
      <c r="B126" s="119" t="s">
        <v>277</v>
      </c>
      <c r="C126" s="34" t="s">
        <v>41</v>
      </c>
      <c r="D126" s="73" t="s">
        <v>54</v>
      </c>
      <c r="E126" s="34" t="s">
        <v>23</v>
      </c>
      <c r="F126" s="117">
        <v>353</v>
      </c>
      <c r="G126" s="36">
        <v>57</v>
      </c>
      <c r="H126" s="37">
        <v>0.4</v>
      </c>
      <c r="I126" s="37">
        <f>K126/J126</f>
        <v>0.35526367861042812</v>
      </c>
      <c r="J126" s="38">
        <v>8262919</v>
      </c>
      <c r="K126" s="38">
        <f>2934306+1209</f>
        <v>2935515</v>
      </c>
      <c r="L126" s="38">
        <v>11716</v>
      </c>
      <c r="M126" s="40">
        <f t="shared" si="13"/>
        <v>5315688</v>
      </c>
      <c r="N126" s="352" t="s">
        <v>278</v>
      </c>
      <c r="O126" s="351">
        <v>15</v>
      </c>
      <c r="P126" s="353" t="s">
        <v>279</v>
      </c>
    </row>
    <row r="127" spans="1:16" s="118" customFormat="1" ht="77.25" customHeight="1">
      <c r="A127" s="44">
        <f t="shared" si="14"/>
        <v>118</v>
      </c>
      <c r="B127" s="119" t="s">
        <v>280</v>
      </c>
      <c r="C127" s="34" t="s">
        <v>41</v>
      </c>
      <c r="D127" s="73" t="s">
        <v>54</v>
      </c>
      <c r="E127" s="72" t="s">
        <v>29</v>
      </c>
      <c r="F127" s="117" t="s">
        <v>92</v>
      </c>
      <c r="G127" s="74">
        <v>85</v>
      </c>
      <c r="H127" s="75">
        <v>0</v>
      </c>
      <c r="I127" s="37">
        <v>0</v>
      </c>
      <c r="J127" s="40">
        <v>307506</v>
      </c>
      <c r="K127" s="40">
        <v>0</v>
      </c>
      <c r="L127" s="40">
        <v>0</v>
      </c>
      <c r="M127" s="40">
        <f t="shared" si="13"/>
        <v>307506</v>
      </c>
      <c r="N127" s="73" t="s">
        <v>52</v>
      </c>
      <c r="O127" s="77">
        <f>9611/4.8</f>
        <v>2002.2916666666667</v>
      </c>
      <c r="P127" s="354" t="s">
        <v>281</v>
      </c>
    </row>
    <row r="128" spans="1:16" s="145" customFormat="1" ht="77.25" customHeight="1">
      <c r="A128" s="44">
        <f t="shared" si="14"/>
        <v>119</v>
      </c>
      <c r="B128" s="116" t="s">
        <v>282</v>
      </c>
      <c r="C128" s="34" t="s">
        <v>41</v>
      </c>
      <c r="D128" s="73" t="s">
        <v>51</v>
      </c>
      <c r="E128" s="72" t="s">
        <v>23</v>
      </c>
      <c r="F128" s="117">
        <v>343</v>
      </c>
      <c r="G128" s="74">
        <v>77</v>
      </c>
      <c r="H128" s="75" t="s">
        <v>283</v>
      </c>
      <c r="I128" s="248" t="s">
        <v>283</v>
      </c>
      <c r="J128" s="40">
        <v>1184661</v>
      </c>
      <c r="K128" s="40">
        <f>87553+0</f>
        <v>87553</v>
      </c>
      <c r="L128" s="40">
        <v>0</v>
      </c>
      <c r="M128" s="40">
        <f t="shared" si="13"/>
        <v>1097108</v>
      </c>
      <c r="N128" s="73" t="s">
        <v>284</v>
      </c>
      <c r="O128" s="217" t="s">
        <v>264</v>
      </c>
      <c r="P128" s="42" t="s">
        <v>285</v>
      </c>
    </row>
    <row r="129" spans="1:16" s="43" customFormat="1" ht="77.25" customHeight="1">
      <c r="A129" s="44">
        <f t="shared" si="14"/>
        <v>120</v>
      </c>
      <c r="B129" s="116" t="s">
        <v>286</v>
      </c>
      <c r="C129" s="268" t="s">
        <v>287</v>
      </c>
      <c r="D129" s="177" t="s">
        <v>288</v>
      </c>
      <c r="E129" s="72" t="s">
        <v>23</v>
      </c>
      <c r="F129" s="117" t="s">
        <v>139</v>
      </c>
      <c r="G129" s="74">
        <v>83</v>
      </c>
      <c r="H129" s="75">
        <v>0</v>
      </c>
      <c r="I129" s="37">
        <f>K129/J129</f>
        <v>1.7542973234334408E-3</v>
      </c>
      <c r="J129" s="40">
        <v>851053</v>
      </c>
      <c r="K129" s="40">
        <v>1493</v>
      </c>
      <c r="L129" s="40">
        <v>1147</v>
      </c>
      <c r="M129" s="40">
        <f t="shared" si="13"/>
        <v>848413</v>
      </c>
      <c r="N129" s="73" t="s">
        <v>289</v>
      </c>
      <c r="O129" s="77">
        <f>88682071/4.9</f>
        <v>18098381.836734693</v>
      </c>
      <c r="P129" s="78" t="s">
        <v>290</v>
      </c>
    </row>
    <row r="130" spans="1:16" s="118" customFormat="1" ht="77.25" customHeight="1">
      <c r="A130" s="44">
        <f t="shared" si="14"/>
        <v>121</v>
      </c>
      <c r="B130" s="119" t="s">
        <v>291</v>
      </c>
      <c r="C130" s="34" t="s">
        <v>41</v>
      </c>
      <c r="D130" s="73" t="s">
        <v>54</v>
      </c>
      <c r="E130" s="80" t="s">
        <v>23</v>
      </c>
      <c r="F130" s="117">
        <v>1410</v>
      </c>
      <c r="G130" s="74">
        <v>65</v>
      </c>
      <c r="H130" s="75">
        <v>0</v>
      </c>
      <c r="I130" s="37">
        <v>0</v>
      </c>
      <c r="J130" s="40">
        <v>145202</v>
      </c>
      <c r="K130" s="40">
        <v>0</v>
      </c>
      <c r="L130" s="40">
        <v>0</v>
      </c>
      <c r="M130" s="40">
        <f t="shared" si="13"/>
        <v>145202</v>
      </c>
      <c r="N130" s="73" t="s">
        <v>66</v>
      </c>
      <c r="O130" s="77">
        <f>31900720/4.8</f>
        <v>6645983.333333334</v>
      </c>
      <c r="P130" s="78"/>
    </row>
    <row r="131" spans="1:16" s="43" customFormat="1" ht="77.25" customHeight="1">
      <c r="A131" s="44">
        <f t="shared" si="14"/>
        <v>122</v>
      </c>
      <c r="B131" s="249" t="s">
        <v>292</v>
      </c>
      <c r="C131" s="268" t="s">
        <v>287</v>
      </c>
      <c r="D131" s="177" t="s">
        <v>288</v>
      </c>
      <c r="E131" s="177" t="s">
        <v>23</v>
      </c>
      <c r="F131" s="250" t="s">
        <v>139</v>
      </c>
      <c r="G131" s="234">
        <v>86</v>
      </c>
      <c r="H131" s="269">
        <v>0</v>
      </c>
      <c r="I131" s="272">
        <f t="shared" ref="I131:I136" si="16">K131/J131</f>
        <v>5.0799913689467029E-3</v>
      </c>
      <c r="J131" s="252">
        <v>324410</v>
      </c>
      <c r="K131" s="252">
        <v>1648</v>
      </c>
      <c r="L131" s="252">
        <v>5169</v>
      </c>
      <c r="M131" s="252">
        <f t="shared" si="13"/>
        <v>317593</v>
      </c>
      <c r="N131" s="178" t="s">
        <v>183</v>
      </c>
      <c r="O131" s="253">
        <f>8607299/4.9</f>
        <v>1756591.6326530611</v>
      </c>
      <c r="P131" s="78" t="s">
        <v>290</v>
      </c>
    </row>
    <row r="132" spans="1:16" s="118" customFormat="1" ht="94.5" customHeight="1">
      <c r="A132" s="44">
        <f t="shared" si="14"/>
        <v>123</v>
      </c>
      <c r="B132" s="119" t="s">
        <v>293</v>
      </c>
      <c r="C132" s="34" t="s">
        <v>41</v>
      </c>
      <c r="D132" s="73" t="s">
        <v>54</v>
      </c>
      <c r="E132" s="72" t="s">
        <v>23</v>
      </c>
      <c r="F132" s="117">
        <v>372</v>
      </c>
      <c r="G132" s="36">
        <v>91</v>
      </c>
      <c r="H132" s="355">
        <v>0.61</v>
      </c>
      <c r="I132" s="37">
        <f t="shared" si="16"/>
        <v>0.48270202754467095</v>
      </c>
      <c r="J132" s="76">
        <v>3955030</v>
      </c>
      <c r="K132" s="40">
        <f>926238+982863</f>
        <v>1909101</v>
      </c>
      <c r="L132" s="40">
        <v>919313</v>
      </c>
      <c r="M132" s="76">
        <f t="shared" si="13"/>
        <v>1126616</v>
      </c>
      <c r="N132" s="356" t="s">
        <v>294</v>
      </c>
      <c r="O132" s="41">
        <f>101080*1000</f>
        <v>101080000</v>
      </c>
      <c r="P132" s="42"/>
    </row>
    <row r="133" spans="1:16" s="43" customFormat="1" ht="77.25" customHeight="1">
      <c r="A133" s="44">
        <f t="shared" si="14"/>
        <v>124</v>
      </c>
      <c r="B133" s="119" t="s">
        <v>295</v>
      </c>
      <c r="C133" s="34" t="s">
        <v>41</v>
      </c>
      <c r="D133" s="73" t="s">
        <v>54</v>
      </c>
      <c r="E133" s="72" t="s">
        <v>23</v>
      </c>
      <c r="F133" s="117">
        <v>820</v>
      </c>
      <c r="G133" s="74">
        <v>100</v>
      </c>
      <c r="H133" s="75">
        <v>0</v>
      </c>
      <c r="I133" s="37">
        <f t="shared" si="16"/>
        <v>8.8752173856192062E-3</v>
      </c>
      <c r="J133" s="40">
        <v>305908</v>
      </c>
      <c r="K133" s="40">
        <f>2128+587</f>
        <v>2715</v>
      </c>
      <c r="L133" s="40">
        <v>43265</v>
      </c>
      <c r="M133" s="40">
        <f t="shared" si="13"/>
        <v>259928</v>
      </c>
      <c r="N133" s="73" t="s">
        <v>296</v>
      </c>
      <c r="O133" s="41">
        <v>32810486</v>
      </c>
      <c r="P133" s="347" t="s">
        <v>297</v>
      </c>
    </row>
    <row r="134" spans="1:16" s="43" customFormat="1" ht="77.25" customHeight="1">
      <c r="A134" s="44">
        <f t="shared" si="14"/>
        <v>125</v>
      </c>
      <c r="B134" s="357" t="s">
        <v>298</v>
      </c>
      <c r="C134" s="33" t="s">
        <v>21</v>
      </c>
      <c r="D134" s="73" t="s">
        <v>22</v>
      </c>
      <c r="E134" s="72" t="s">
        <v>23</v>
      </c>
      <c r="F134" s="72">
        <v>286</v>
      </c>
      <c r="G134" s="74">
        <v>69</v>
      </c>
      <c r="H134" s="37">
        <v>0.7</v>
      </c>
      <c r="I134" s="37">
        <f t="shared" si="16"/>
        <v>0.22478060012390788</v>
      </c>
      <c r="J134" s="40">
        <v>204991</v>
      </c>
      <c r="K134" s="40">
        <v>46078</v>
      </c>
      <c r="L134" s="40">
        <v>300</v>
      </c>
      <c r="M134" s="40">
        <f t="shared" si="13"/>
        <v>158613</v>
      </c>
      <c r="N134" s="117">
        <v>2027</v>
      </c>
      <c r="O134" s="41">
        <v>14072</v>
      </c>
      <c r="P134" s="42" t="s">
        <v>299</v>
      </c>
    </row>
    <row r="135" spans="1:16" s="118" customFormat="1" ht="330.75" customHeight="1">
      <c r="A135" s="44">
        <f t="shared" si="14"/>
        <v>126</v>
      </c>
      <c r="B135" s="219" t="s">
        <v>300</v>
      </c>
      <c r="C135" s="34" t="s">
        <v>41</v>
      </c>
      <c r="D135" s="73" t="s">
        <v>54</v>
      </c>
      <c r="E135" s="72" t="s">
        <v>23</v>
      </c>
      <c r="F135" s="358">
        <v>1081</v>
      </c>
      <c r="G135" s="74">
        <v>79</v>
      </c>
      <c r="H135" s="359">
        <v>0</v>
      </c>
      <c r="I135" s="248">
        <f t="shared" si="16"/>
        <v>0.63537493093448105</v>
      </c>
      <c r="J135" s="262">
        <v>3914761</v>
      </c>
      <c r="K135" s="38">
        <f>2375315+112026</f>
        <v>2487341</v>
      </c>
      <c r="L135" s="38">
        <v>257866</v>
      </c>
      <c r="M135" s="76">
        <f t="shared" si="13"/>
        <v>1169554</v>
      </c>
      <c r="N135" s="360" t="s">
        <v>74</v>
      </c>
      <c r="O135" s="41">
        <v>1547642182</v>
      </c>
      <c r="P135" s="361" t="s">
        <v>301</v>
      </c>
    </row>
    <row r="136" spans="1:16" s="118" customFormat="1" ht="228.75" customHeight="1">
      <c r="A136" s="44">
        <f t="shared" si="14"/>
        <v>127</v>
      </c>
      <c r="B136" s="362" t="s">
        <v>302</v>
      </c>
      <c r="C136" s="34" t="s">
        <v>41</v>
      </c>
      <c r="D136" s="73" t="s">
        <v>54</v>
      </c>
      <c r="E136" s="177" t="s">
        <v>23</v>
      </c>
      <c r="F136" s="363">
        <v>988</v>
      </c>
      <c r="G136" s="338">
        <v>87</v>
      </c>
      <c r="H136" s="272">
        <v>0.86499999999999999</v>
      </c>
      <c r="I136" s="272">
        <f t="shared" si="16"/>
        <v>0.47879478606365661</v>
      </c>
      <c r="J136" s="364">
        <v>5556723</v>
      </c>
      <c r="K136" s="365">
        <f>2656751+3779</f>
        <v>2660530</v>
      </c>
      <c r="L136" s="365">
        <v>585808</v>
      </c>
      <c r="M136" s="76">
        <f t="shared" si="13"/>
        <v>2310385</v>
      </c>
      <c r="N136" s="366" t="s">
        <v>303</v>
      </c>
      <c r="O136" s="367">
        <v>627340000</v>
      </c>
      <c r="P136" s="368"/>
    </row>
    <row r="137" spans="1:16" s="145" customFormat="1" ht="77.25" customHeight="1">
      <c r="A137" s="44">
        <f t="shared" si="14"/>
        <v>128</v>
      </c>
      <c r="B137" s="116" t="s">
        <v>304</v>
      </c>
      <c r="C137" s="34" t="s">
        <v>41</v>
      </c>
      <c r="D137" s="73" t="s">
        <v>51</v>
      </c>
      <c r="E137" s="72" t="s">
        <v>23</v>
      </c>
      <c r="F137" s="117">
        <v>344</v>
      </c>
      <c r="G137" s="36">
        <v>74</v>
      </c>
      <c r="H137" s="37" t="s">
        <v>305</v>
      </c>
      <c r="I137" s="37" t="s">
        <v>305</v>
      </c>
      <c r="J137" s="40">
        <v>1083338</v>
      </c>
      <c r="K137" s="40">
        <f>10572+0</f>
        <v>10572</v>
      </c>
      <c r="L137" s="40">
        <v>0</v>
      </c>
      <c r="M137" s="40">
        <f t="shared" si="13"/>
        <v>1072766</v>
      </c>
      <c r="N137" s="73" t="s">
        <v>284</v>
      </c>
      <c r="O137" s="217" t="s">
        <v>264</v>
      </c>
      <c r="P137" s="42" t="s">
        <v>285</v>
      </c>
    </row>
    <row r="138" spans="1:16" s="43" customFormat="1" ht="77.25" customHeight="1">
      <c r="A138" s="44">
        <f t="shared" si="14"/>
        <v>129</v>
      </c>
      <c r="B138" s="339" t="s">
        <v>306</v>
      </c>
      <c r="C138" s="33" t="s">
        <v>21</v>
      </c>
      <c r="D138" s="73" t="s">
        <v>22</v>
      </c>
      <c r="E138" s="72" t="s">
        <v>23</v>
      </c>
      <c r="F138" s="117">
        <v>287</v>
      </c>
      <c r="G138" s="36">
        <v>82</v>
      </c>
      <c r="H138" s="37">
        <v>0.81</v>
      </c>
      <c r="I138" s="37">
        <f>K138/J138</f>
        <v>0.7920691739661242</v>
      </c>
      <c r="J138" s="40">
        <v>168734</v>
      </c>
      <c r="K138" s="40">
        <v>133649</v>
      </c>
      <c r="L138" s="40">
        <v>100</v>
      </c>
      <c r="M138" s="40">
        <f t="shared" ref="M138:M168" si="17">J138-K138-L138</f>
        <v>34985</v>
      </c>
      <c r="N138" s="73" t="s">
        <v>289</v>
      </c>
      <c r="O138" s="217" t="s">
        <v>264</v>
      </c>
      <c r="P138" s="42" t="s">
        <v>307</v>
      </c>
    </row>
    <row r="139" spans="1:16" s="43" customFormat="1" ht="77.25" customHeight="1">
      <c r="A139" s="44">
        <f t="shared" ref="A139:A168" si="18">A138+1</f>
        <v>130</v>
      </c>
      <c r="B139" s="339" t="s">
        <v>308</v>
      </c>
      <c r="C139" s="33" t="s">
        <v>21</v>
      </c>
      <c r="D139" s="73" t="s">
        <v>22</v>
      </c>
      <c r="E139" s="72" t="s">
        <v>23</v>
      </c>
      <c r="F139" s="72">
        <v>278</v>
      </c>
      <c r="G139" s="74">
        <v>81</v>
      </c>
      <c r="H139" s="75">
        <v>0.89</v>
      </c>
      <c r="I139" s="37">
        <f>K139/J139</f>
        <v>0.78231586966307698</v>
      </c>
      <c r="J139" s="40">
        <v>173274</v>
      </c>
      <c r="K139" s="40">
        <v>135555</v>
      </c>
      <c r="L139" s="40">
        <v>0</v>
      </c>
      <c r="M139" s="40">
        <f t="shared" si="17"/>
        <v>37719</v>
      </c>
      <c r="N139" s="73" t="s">
        <v>66</v>
      </c>
      <c r="O139" s="217" t="s">
        <v>264</v>
      </c>
      <c r="P139" s="42" t="s">
        <v>309</v>
      </c>
    </row>
    <row r="140" spans="1:16" s="118" customFormat="1" ht="77.25" customHeight="1">
      <c r="A140" s="44">
        <f t="shared" si="18"/>
        <v>131</v>
      </c>
      <c r="B140" s="218" t="s">
        <v>310</v>
      </c>
      <c r="C140" s="34" t="s">
        <v>41</v>
      </c>
      <c r="D140" s="73" t="s">
        <v>54</v>
      </c>
      <c r="E140" s="72" t="s">
        <v>23</v>
      </c>
      <c r="F140" s="117">
        <v>816</v>
      </c>
      <c r="G140" s="36">
        <v>72</v>
      </c>
      <c r="H140" s="37">
        <v>0.49819999999999998</v>
      </c>
      <c r="I140" s="37">
        <f>K140/J140</f>
        <v>0.32872078493423146</v>
      </c>
      <c r="J140" s="76">
        <v>540988</v>
      </c>
      <c r="K140" s="40">
        <f>494+177340</f>
        <v>177834</v>
      </c>
      <c r="L140" s="40">
        <v>99403</v>
      </c>
      <c r="M140" s="76">
        <f t="shared" si="17"/>
        <v>263751</v>
      </c>
      <c r="N140" s="117" t="s">
        <v>311</v>
      </c>
      <c r="O140" s="41">
        <v>113984129</v>
      </c>
      <c r="P140" s="369"/>
    </row>
    <row r="141" spans="1:16" s="118" customFormat="1" ht="77.25" customHeight="1">
      <c r="A141" s="44">
        <f t="shared" si="18"/>
        <v>132</v>
      </c>
      <c r="B141" s="218" t="s">
        <v>312</v>
      </c>
      <c r="C141" s="34" t="s">
        <v>41</v>
      </c>
      <c r="D141" s="73" t="s">
        <v>54</v>
      </c>
      <c r="E141" s="72" t="s">
        <v>23</v>
      </c>
      <c r="F141" s="117">
        <v>1121</v>
      </c>
      <c r="G141" s="74">
        <v>84</v>
      </c>
      <c r="H141" s="75">
        <v>0.06</v>
      </c>
      <c r="I141" s="37">
        <f>K141/J141</f>
        <v>3.1637199821430075E-2</v>
      </c>
      <c r="J141" s="76">
        <v>237442</v>
      </c>
      <c r="K141" s="40">
        <f>2944+4568</f>
        <v>7512</v>
      </c>
      <c r="L141" s="40">
        <v>62306</v>
      </c>
      <c r="M141" s="76">
        <f t="shared" si="17"/>
        <v>167624</v>
      </c>
      <c r="N141" s="73" t="s">
        <v>313</v>
      </c>
      <c r="O141" s="217">
        <v>22990000</v>
      </c>
      <c r="P141" s="370"/>
    </row>
    <row r="142" spans="1:16" s="43" customFormat="1" ht="77.25" customHeight="1">
      <c r="A142" s="44">
        <f t="shared" si="18"/>
        <v>133</v>
      </c>
      <c r="B142" s="32" t="s">
        <v>314</v>
      </c>
      <c r="C142" s="33" t="s">
        <v>21</v>
      </c>
      <c r="D142" s="73" t="s">
        <v>22</v>
      </c>
      <c r="E142" s="72" t="s">
        <v>23</v>
      </c>
      <c r="F142" s="72">
        <v>282</v>
      </c>
      <c r="G142" s="74">
        <v>74</v>
      </c>
      <c r="H142" s="37">
        <v>0.34200000000000003</v>
      </c>
      <c r="I142" s="37">
        <f>K142/J142</f>
        <v>9.0757926325677571E-2</v>
      </c>
      <c r="J142" s="40">
        <v>634468</v>
      </c>
      <c r="K142" s="40">
        <v>57583</v>
      </c>
      <c r="L142" s="40">
        <v>350</v>
      </c>
      <c r="M142" s="40">
        <f t="shared" si="17"/>
        <v>576535</v>
      </c>
      <c r="N142" s="117">
        <v>2028</v>
      </c>
      <c r="O142" s="371">
        <f>19697490/4.8</f>
        <v>4103643.75</v>
      </c>
      <c r="P142" s="42" t="s">
        <v>315</v>
      </c>
    </row>
    <row r="143" spans="1:16" s="118" customFormat="1" ht="77.25" customHeight="1">
      <c r="A143" s="44">
        <f t="shared" si="18"/>
        <v>134</v>
      </c>
      <c r="B143" s="278" t="s">
        <v>316</v>
      </c>
      <c r="C143" s="34" t="s">
        <v>41</v>
      </c>
      <c r="D143" s="73" t="s">
        <v>54</v>
      </c>
      <c r="E143" s="73" t="s">
        <v>23</v>
      </c>
      <c r="F143" s="34">
        <v>1226</v>
      </c>
      <c r="G143" s="74">
        <v>60</v>
      </c>
      <c r="H143" s="248">
        <v>0</v>
      </c>
      <c r="I143" s="248">
        <v>0</v>
      </c>
      <c r="J143" s="40">
        <v>160646</v>
      </c>
      <c r="K143" s="40">
        <v>0</v>
      </c>
      <c r="L143" s="40">
        <v>0</v>
      </c>
      <c r="M143" s="40">
        <f t="shared" si="17"/>
        <v>160646</v>
      </c>
      <c r="N143" s="297" t="s">
        <v>104</v>
      </c>
      <c r="O143" s="217">
        <v>31728388</v>
      </c>
      <c r="P143" s="78" t="s">
        <v>317</v>
      </c>
    </row>
    <row r="144" spans="1:16" s="43" customFormat="1" ht="409.5">
      <c r="A144" s="44">
        <f t="shared" si="18"/>
        <v>135</v>
      </c>
      <c r="B144" s="119" t="s">
        <v>318</v>
      </c>
      <c r="C144" s="34" t="s">
        <v>41</v>
      </c>
      <c r="D144" s="73" t="s">
        <v>54</v>
      </c>
      <c r="E144" s="72" t="s">
        <v>23</v>
      </c>
      <c r="F144" s="117">
        <v>383</v>
      </c>
      <c r="G144" s="74">
        <v>98</v>
      </c>
      <c r="H144" s="75">
        <v>7.2999999999999995E-2</v>
      </c>
      <c r="I144" s="37">
        <f t="shared" ref="I144:I149" si="19">K144/J144</f>
        <v>0.2538298190031183</v>
      </c>
      <c r="J144" s="40">
        <v>1962299</v>
      </c>
      <c r="K144" s="40">
        <f>247704+250386</f>
        <v>498090</v>
      </c>
      <c r="L144" s="40">
        <v>83319</v>
      </c>
      <c r="M144" s="40">
        <f t="shared" si="17"/>
        <v>1380890</v>
      </c>
      <c r="N144" s="73" t="s">
        <v>319</v>
      </c>
      <c r="O144" s="372">
        <v>29.23</v>
      </c>
      <c r="P144" s="42"/>
    </row>
    <row r="145" spans="1:16" s="118" customFormat="1" ht="77.25" customHeight="1">
      <c r="A145" s="44">
        <f t="shared" si="18"/>
        <v>136</v>
      </c>
      <c r="B145" s="119" t="s">
        <v>320</v>
      </c>
      <c r="C145" s="34" t="s">
        <v>41</v>
      </c>
      <c r="D145" s="73" t="s">
        <v>54</v>
      </c>
      <c r="E145" s="72" t="s">
        <v>23</v>
      </c>
      <c r="F145" s="117">
        <v>1079</v>
      </c>
      <c r="G145" s="74">
        <v>89</v>
      </c>
      <c r="H145" s="248">
        <v>0.39200000000000002</v>
      </c>
      <c r="I145" s="248">
        <f t="shared" si="19"/>
        <v>5.1521880907762545E-2</v>
      </c>
      <c r="J145" s="373">
        <v>121133</v>
      </c>
      <c r="K145" s="77">
        <f>438+5803</f>
        <v>6241</v>
      </c>
      <c r="L145" s="77">
        <v>269</v>
      </c>
      <c r="M145" s="76">
        <f t="shared" si="17"/>
        <v>114623</v>
      </c>
      <c r="N145" s="72">
        <v>2024</v>
      </c>
      <c r="O145" s="41">
        <v>113070000</v>
      </c>
      <c r="P145" s="42" t="s">
        <v>321</v>
      </c>
    </row>
    <row r="146" spans="1:16" s="118" customFormat="1" ht="77.25" customHeight="1">
      <c r="A146" s="44">
        <f t="shared" si="18"/>
        <v>137</v>
      </c>
      <c r="B146" s="374" t="s">
        <v>322</v>
      </c>
      <c r="C146" s="34" t="s">
        <v>41</v>
      </c>
      <c r="D146" s="73" t="s">
        <v>54</v>
      </c>
      <c r="E146" s="72" t="s">
        <v>23</v>
      </c>
      <c r="F146" s="117">
        <v>872</v>
      </c>
      <c r="G146" s="74">
        <v>70</v>
      </c>
      <c r="H146" s="75">
        <v>0</v>
      </c>
      <c r="I146" s="37">
        <f t="shared" si="19"/>
        <v>3.7641166896206335E-2</v>
      </c>
      <c r="J146" s="76">
        <v>199675</v>
      </c>
      <c r="K146" s="40">
        <f>1833+5683</f>
        <v>7516</v>
      </c>
      <c r="L146" s="40">
        <v>47432</v>
      </c>
      <c r="M146" s="76">
        <f t="shared" si="17"/>
        <v>144727</v>
      </c>
      <c r="N146" s="73" t="s">
        <v>52</v>
      </c>
      <c r="O146" s="41">
        <v>62681.04</v>
      </c>
      <c r="P146" s="42"/>
    </row>
    <row r="147" spans="1:16" s="43" customFormat="1" ht="77.25" customHeight="1">
      <c r="A147" s="44">
        <f t="shared" si="18"/>
        <v>138</v>
      </c>
      <c r="B147" s="339" t="s">
        <v>323</v>
      </c>
      <c r="C147" s="33" t="s">
        <v>21</v>
      </c>
      <c r="D147" s="73" t="s">
        <v>22</v>
      </c>
      <c r="E147" s="72" t="s">
        <v>23</v>
      </c>
      <c r="F147" s="117">
        <v>272</v>
      </c>
      <c r="G147" s="74">
        <v>76</v>
      </c>
      <c r="H147" s="37">
        <v>0.45</v>
      </c>
      <c r="I147" s="37">
        <f t="shared" si="19"/>
        <v>0.24235745233314715</v>
      </c>
      <c r="J147" s="40">
        <v>132482</v>
      </c>
      <c r="K147" s="40">
        <v>32108</v>
      </c>
      <c r="L147" s="40">
        <v>500</v>
      </c>
      <c r="M147" s="40">
        <f t="shared" si="17"/>
        <v>99874</v>
      </c>
      <c r="N147" s="34">
        <v>2027</v>
      </c>
      <c r="O147" s="371" t="s">
        <v>264</v>
      </c>
      <c r="P147" s="42"/>
    </row>
    <row r="148" spans="1:16" s="145" customFormat="1" ht="215.25" customHeight="1">
      <c r="A148" s="44">
        <f t="shared" si="18"/>
        <v>139</v>
      </c>
      <c r="B148" s="116" t="s">
        <v>324</v>
      </c>
      <c r="C148" s="34" t="s">
        <v>41</v>
      </c>
      <c r="D148" s="73" t="s">
        <v>229</v>
      </c>
      <c r="E148" s="72" t="s">
        <v>23</v>
      </c>
      <c r="F148" s="117">
        <v>1292</v>
      </c>
      <c r="G148" s="36">
        <v>80</v>
      </c>
      <c r="H148" s="300">
        <v>0.33</v>
      </c>
      <c r="I148" s="248">
        <f t="shared" si="19"/>
        <v>0.33477886754079844</v>
      </c>
      <c r="J148" s="40">
        <v>9161319</v>
      </c>
      <c r="K148" s="40">
        <f>3018251+48765</f>
        <v>3067016</v>
      </c>
      <c r="L148" s="40">
        <v>45241</v>
      </c>
      <c r="M148" s="40">
        <f t="shared" si="17"/>
        <v>6049062</v>
      </c>
      <c r="N148" s="375">
        <v>2030</v>
      </c>
      <c r="O148" s="217">
        <f>1588.32*1000000</f>
        <v>1588320000</v>
      </c>
      <c r="P148" s="42" t="s">
        <v>325</v>
      </c>
    </row>
    <row r="149" spans="1:16" s="118" customFormat="1" ht="174" customHeight="1">
      <c r="A149" s="44">
        <f t="shared" si="18"/>
        <v>140</v>
      </c>
      <c r="B149" s="219" t="s">
        <v>326</v>
      </c>
      <c r="C149" s="34" t="s">
        <v>41</v>
      </c>
      <c r="D149" s="73" t="s">
        <v>54</v>
      </c>
      <c r="E149" s="72" t="s">
        <v>23</v>
      </c>
      <c r="F149" s="117">
        <v>998</v>
      </c>
      <c r="G149" s="36">
        <v>87</v>
      </c>
      <c r="H149" s="75">
        <v>0.34260000000000002</v>
      </c>
      <c r="I149" s="37">
        <f t="shared" si="19"/>
        <v>0.21838238287133147</v>
      </c>
      <c r="J149" s="274">
        <v>393072</v>
      </c>
      <c r="K149" s="40">
        <f>84941+899</f>
        <v>85840</v>
      </c>
      <c r="L149" s="40">
        <v>793</v>
      </c>
      <c r="M149" s="76">
        <f t="shared" si="17"/>
        <v>306439</v>
      </c>
      <c r="N149" s="305" t="s">
        <v>74</v>
      </c>
      <c r="O149" s="41">
        <v>150349000</v>
      </c>
      <c r="P149" s="376"/>
    </row>
    <row r="150" spans="1:16" s="43" customFormat="1" ht="77.25" customHeight="1">
      <c r="A150" s="44">
        <f t="shared" si="18"/>
        <v>141</v>
      </c>
      <c r="B150" s="377" t="s">
        <v>327</v>
      </c>
      <c r="C150" s="34" t="s">
        <v>41</v>
      </c>
      <c r="D150" s="73" t="s">
        <v>54</v>
      </c>
      <c r="E150" s="73" t="s">
        <v>23</v>
      </c>
      <c r="F150" s="34">
        <v>1258</v>
      </c>
      <c r="G150" s="74">
        <v>70</v>
      </c>
      <c r="H150" s="248">
        <v>0</v>
      </c>
      <c r="I150" s="248">
        <v>0</v>
      </c>
      <c r="J150" s="40">
        <v>168605</v>
      </c>
      <c r="K150" s="40">
        <v>0</v>
      </c>
      <c r="L150" s="40">
        <v>0</v>
      </c>
      <c r="M150" s="40">
        <f t="shared" si="17"/>
        <v>168605</v>
      </c>
      <c r="N150" s="73" t="s">
        <v>104</v>
      </c>
      <c r="O150" s="217">
        <f>113447000/4.8</f>
        <v>23634791.666666668</v>
      </c>
      <c r="P150" s="378" t="s">
        <v>328</v>
      </c>
    </row>
    <row r="151" spans="1:16" s="43" customFormat="1" ht="77.25" customHeight="1">
      <c r="A151" s="44">
        <f t="shared" si="18"/>
        <v>142</v>
      </c>
      <c r="B151" s="218" t="s">
        <v>329</v>
      </c>
      <c r="C151" s="34" t="s">
        <v>41</v>
      </c>
      <c r="D151" s="72" t="s">
        <v>54</v>
      </c>
      <c r="E151" s="72" t="s">
        <v>23</v>
      </c>
      <c r="F151" s="117">
        <v>1325</v>
      </c>
      <c r="G151" s="74">
        <v>74</v>
      </c>
      <c r="H151" s="75">
        <v>0</v>
      </c>
      <c r="I151" s="37">
        <f>K151/J151</f>
        <v>1.9575493133266137E-2</v>
      </c>
      <c r="J151" s="40">
        <v>1221323</v>
      </c>
      <c r="K151" s="40">
        <f>74+23834</f>
        <v>23908</v>
      </c>
      <c r="L151" s="40">
        <v>50445</v>
      </c>
      <c r="M151" s="40">
        <f t="shared" si="17"/>
        <v>1146970</v>
      </c>
      <c r="N151" s="73" t="s">
        <v>330</v>
      </c>
      <c r="O151" s="77">
        <f>273480000</f>
        <v>273480000</v>
      </c>
      <c r="P151" s="78"/>
    </row>
    <row r="152" spans="1:16" s="43" customFormat="1" ht="77.25" customHeight="1">
      <c r="A152" s="44">
        <f t="shared" si="18"/>
        <v>143</v>
      </c>
      <c r="B152" s="218" t="s">
        <v>331</v>
      </c>
      <c r="C152" s="34" t="s">
        <v>41</v>
      </c>
      <c r="D152" s="73" t="s">
        <v>54</v>
      </c>
      <c r="E152" s="72" t="s">
        <v>23</v>
      </c>
      <c r="F152" s="117">
        <v>1242</v>
      </c>
      <c r="G152" s="74">
        <v>69</v>
      </c>
      <c r="H152" s="37">
        <v>0.68</v>
      </c>
      <c r="I152" s="37">
        <f>K152/J152</f>
        <v>0.46439401538592118</v>
      </c>
      <c r="J152" s="40">
        <v>129599</v>
      </c>
      <c r="K152" s="40">
        <f>60185</f>
        <v>60185</v>
      </c>
      <c r="L152" s="40">
        <v>69414</v>
      </c>
      <c r="M152" s="40">
        <f t="shared" si="17"/>
        <v>0</v>
      </c>
      <c r="N152" s="72">
        <v>2024</v>
      </c>
      <c r="O152" s="217">
        <v>97009404</v>
      </c>
      <c r="P152" s="275"/>
    </row>
    <row r="153" spans="1:16" s="43" customFormat="1" ht="122.25" customHeight="1">
      <c r="A153" s="44">
        <f t="shared" si="18"/>
        <v>144</v>
      </c>
      <c r="B153" s="116" t="s">
        <v>332</v>
      </c>
      <c r="C153" s="34" t="s">
        <v>41</v>
      </c>
      <c r="D153" s="73" t="s">
        <v>101</v>
      </c>
      <c r="E153" s="72" t="s">
        <v>23</v>
      </c>
      <c r="F153" s="117">
        <v>421</v>
      </c>
      <c r="G153" s="74">
        <v>73</v>
      </c>
      <c r="H153" s="37">
        <v>0.83</v>
      </c>
      <c r="I153" s="37">
        <f>K153/J153</f>
        <v>0.79682415684800356</v>
      </c>
      <c r="J153" s="38">
        <v>340508</v>
      </c>
      <c r="K153" s="38">
        <f>271068+257</f>
        <v>271325</v>
      </c>
      <c r="L153" s="38">
        <v>8000</v>
      </c>
      <c r="M153" s="40">
        <f t="shared" si="17"/>
        <v>61183</v>
      </c>
      <c r="N153" s="73" t="s">
        <v>183</v>
      </c>
      <c r="O153" s="351">
        <v>21.47</v>
      </c>
      <c r="P153" s="275" t="s">
        <v>333</v>
      </c>
    </row>
    <row r="154" spans="1:16" s="304" customFormat="1" ht="77.25" customHeight="1">
      <c r="A154" s="44">
        <f t="shared" si="18"/>
        <v>145</v>
      </c>
      <c r="B154" s="379" t="s">
        <v>334</v>
      </c>
      <c r="C154" s="99" t="s">
        <v>41</v>
      </c>
      <c r="D154" s="297" t="s">
        <v>101</v>
      </c>
      <c r="E154" s="80" t="s">
        <v>23</v>
      </c>
      <c r="F154" s="301" t="s">
        <v>335</v>
      </c>
      <c r="G154" s="36">
        <v>77</v>
      </c>
      <c r="H154" s="300">
        <v>0.995</v>
      </c>
      <c r="I154" s="84">
        <v>0.99939999999999996</v>
      </c>
      <c r="J154" s="262">
        <v>1829816</v>
      </c>
      <c r="K154" s="262">
        <v>1827016</v>
      </c>
      <c r="L154" s="262">
        <v>1400</v>
      </c>
      <c r="M154" s="76">
        <f t="shared" si="17"/>
        <v>1400</v>
      </c>
      <c r="N154" s="301">
        <v>2023</v>
      </c>
      <c r="O154" s="380">
        <v>3.62</v>
      </c>
      <c r="P154" s="303" t="s">
        <v>336</v>
      </c>
    </row>
    <row r="155" spans="1:16" s="304" customFormat="1" ht="183.75" customHeight="1">
      <c r="A155" s="44">
        <f t="shared" si="18"/>
        <v>146</v>
      </c>
      <c r="B155" s="379" t="s">
        <v>337</v>
      </c>
      <c r="C155" s="99" t="s">
        <v>41</v>
      </c>
      <c r="D155" s="297" t="s">
        <v>101</v>
      </c>
      <c r="E155" s="80" t="s">
        <v>23</v>
      </c>
      <c r="F155" s="301">
        <v>424</v>
      </c>
      <c r="G155" s="74">
        <v>36</v>
      </c>
      <c r="H155" s="84">
        <v>0.03</v>
      </c>
      <c r="I155" s="84">
        <f t="shared" ref="I155:I160" si="20">K155/J155</f>
        <v>0.22408893338660224</v>
      </c>
      <c r="J155" s="262">
        <v>2077510</v>
      </c>
      <c r="K155" s="262">
        <f>465547</f>
        <v>465547</v>
      </c>
      <c r="L155" s="262">
        <v>0</v>
      </c>
      <c r="M155" s="76">
        <f t="shared" si="17"/>
        <v>1611963</v>
      </c>
      <c r="N155" s="297" t="s">
        <v>338</v>
      </c>
      <c r="O155" s="302">
        <f>2077509685/4.8</f>
        <v>432814517.70833337</v>
      </c>
      <c r="P155" s="381" t="s">
        <v>339</v>
      </c>
    </row>
    <row r="156" spans="1:16" s="43" customFormat="1" ht="77.25" customHeight="1">
      <c r="A156" s="44">
        <f t="shared" si="18"/>
        <v>147</v>
      </c>
      <c r="B156" s="219" t="s">
        <v>340</v>
      </c>
      <c r="C156" s="34" t="s">
        <v>41</v>
      </c>
      <c r="D156" s="73" t="s">
        <v>54</v>
      </c>
      <c r="E156" s="72" t="s">
        <v>23</v>
      </c>
      <c r="F156" s="117">
        <v>1189</v>
      </c>
      <c r="G156" s="74">
        <v>63</v>
      </c>
      <c r="H156" s="37">
        <v>0</v>
      </c>
      <c r="I156" s="37">
        <f t="shared" si="20"/>
        <v>6.066337181294271E-4</v>
      </c>
      <c r="J156" s="40">
        <v>168141</v>
      </c>
      <c r="K156" s="40">
        <f>102</f>
        <v>102</v>
      </c>
      <c r="L156" s="40">
        <v>0</v>
      </c>
      <c r="M156" s="40">
        <f t="shared" si="17"/>
        <v>168039</v>
      </c>
      <c r="N156" s="72">
        <v>2025</v>
      </c>
      <c r="O156" s="371">
        <v>14220160</v>
      </c>
      <c r="P156" s="42"/>
    </row>
    <row r="157" spans="1:16" s="145" customFormat="1" ht="71.25" customHeight="1">
      <c r="A157" s="44">
        <f t="shared" si="18"/>
        <v>148</v>
      </c>
      <c r="B157" s="116" t="s">
        <v>341</v>
      </c>
      <c r="C157" s="34" t="s">
        <v>41</v>
      </c>
      <c r="D157" s="73" t="s">
        <v>229</v>
      </c>
      <c r="E157" s="72" t="s">
        <v>23</v>
      </c>
      <c r="F157" s="117">
        <v>390</v>
      </c>
      <c r="G157" s="74">
        <v>80</v>
      </c>
      <c r="H157" s="37">
        <v>0.37</v>
      </c>
      <c r="I157" s="37">
        <f t="shared" si="20"/>
        <v>0.36672540509691842</v>
      </c>
      <c r="J157" s="40">
        <v>1538459</v>
      </c>
      <c r="K157" s="40">
        <f>564192+0</f>
        <v>564192</v>
      </c>
      <c r="L157" s="40">
        <v>10000</v>
      </c>
      <c r="M157" s="40">
        <f t="shared" si="17"/>
        <v>964267</v>
      </c>
      <c r="N157" s="34">
        <v>2027</v>
      </c>
      <c r="O157" s="217">
        <f>109464906.95/4.8</f>
        <v>22805188.947916668</v>
      </c>
      <c r="P157" s="42"/>
    </row>
    <row r="158" spans="1:16" s="43" customFormat="1" ht="77.25" customHeight="1">
      <c r="A158" s="44">
        <f t="shared" si="18"/>
        <v>149</v>
      </c>
      <c r="B158" s="374" t="s">
        <v>342</v>
      </c>
      <c r="C158" s="34" t="s">
        <v>41</v>
      </c>
      <c r="D158" s="73" t="s">
        <v>54</v>
      </c>
      <c r="E158" s="72" t="s">
        <v>23</v>
      </c>
      <c r="F158" s="117">
        <v>363</v>
      </c>
      <c r="G158" s="36">
        <v>66</v>
      </c>
      <c r="H158" s="37">
        <v>0.46</v>
      </c>
      <c r="I158" s="37">
        <f t="shared" si="20"/>
        <v>0.3867478890948578</v>
      </c>
      <c r="J158" s="40">
        <v>804868</v>
      </c>
      <c r="K158" s="40">
        <f>311196+85</f>
        <v>311281</v>
      </c>
      <c r="L158" s="40">
        <v>1716</v>
      </c>
      <c r="M158" s="40">
        <f t="shared" si="17"/>
        <v>491871</v>
      </c>
      <c r="N158" s="342" t="s">
        <v>343</v>
      </c>
      <c r="O158" s="351">
        <v>7.32</v>
      </c>
      <c r="P158" s="42"/>
    </row>
    <row r="159" spans="1:16" s="118" customFormat="1" ht="77.25" customHeight="1">
      <c r="A159" s="44">
        <f t="shared" si="18"/>
        <v>150</v>
      </c>
      <c r="B159" s="374" t="s">
        <v>344</v>
      </c>
      <c r="C159" s="34" t="s">
        <v>41</v>
      </c>
      <c r="D159" s="73" t="s">
        <v>54</v>
      </c>
      <c r="E159" s="72" t="s">
        <v>23</v>
      </c>
      <c r="F159" s="117">
        <v>1080</v>
      </c>
      <c r="G159" s="74">
        <v>66</v>
      </c>
      <c r="H159" s="37">
        <v>0</v>
      </c>
      <c r="I159" s="248">
        <f t="shared" si="20"/>
        <v>6.4186099488454211E-3</v>
      </c>
      <c r="J159" s="76">
        <v>597014</v>
      </c>
      <c r="K159" s="40">
        <f>3298+534</f>
        <v>3832</v>
      </c>
      <c r="L159" s="40">
        <v>645</v>
      </c>
      <c r="M159" s="76">
        <f t="shared" si="17"/>
        <v>592537</v>
      </c>
      <c r="N159" s="73" t="s">
        <v>74</v>
      </c>
      <c r="O159" s="41">
        <v>178620000</v>
      </c>
      <c r="P159" s="42" t="s">
        <v>321</v>
      </c>
    </row>
    <row r="160" spans="1:16" s="43" customFormat="1" ht="77.25" customHeight="1">
      <c r="A160" s="44">
        <f t="shared" si="18"/>
        <v>151</v>
      </c>
      <c r="B160" s="342" t="s">
        <v>345</v>
      </c>
      <c r="C160" s="34" t="s">
        <v>41</v>
      </c>
      <c r="D160" s="73" t="s">
        <v>54</v>
      </c>
      <c r="E160" s="73" t="s">
        <v>23</v>
      </c>
      <c r="F160" s="34">
        <v>1267</v>
      </c>
      <c r="G160" s="74">
        <v>74</v>
      </c>
      <c r="H160" s="248">
        <v>0</v>
      </c>
      <c r="I160" s="248">
        <f t="shared" si="20"/>
        <v>6.7030586894682376E-5</v>
      </c>
      <c r="J160" s="40">
        <v>238697</v>
      </c>
      <c r="K160" s="40">
        <f>16</f>
        <v>16</v>
      </c>
      <c r="L160" s="40">
        <v>1854</v>
      </c>
      <c r="M160" s="40">
        <f t="shared" si="17"/>
        <v>236827</v>
      </c>
      <c r="N160" s="73" t="s">
        <v>66</v>
      </c>
      <c r="O160" s="217">
        <v>210663</v>
      </c>
      <c r="P160" s="382"/>
    </row>
    <row r="161" spans="1:33" s="43" customFormat="1" ht="77.25" customHeight="1">
      <c r="A161" s="44">
        <f t="shared" si="18"/>
        <v>152</v>
      </c>
      <c r="B161" s="342" t="s">
        <v>346</v>
      </c>
      <c r="C161" s="34" t="s">
        <v>41</v>
      </c>
      <c r="D161" s="73" t="s">
        <v>54</v>
      </c>
      <c r="E161" s="73" t="s">
        <v>23</v>
      </c>
      <c r="F161" s="34">
        <v>1268</v>
      </c>
      <c r="G161" s="74">
        <v>65</v>
      </c>
      <c r="H161" s="248">
        <v>0</v>
      </c>
      <c r="I161" s="248">
        <v>0</v>
      </c>
      <c r="J161" s="40">
        <v>236673</v>
      </c>
      <c r="K161" s="40">
        <f>0</f>
        <v>0</v>
      </c>
      <c r="L161" s="40">
        <v>285</v>
      </c>
      <c r="M161" s="40">
        <f t="shared" si="17"/>
        <v>236388</v>
      </c>
      <c r="N161" s="73" t="s">
        <v>66</v>
      </c>
      <c r="O161" s="217">
        <v>37971</v>
      </c>
      <c r="P161" s="382"/>
    </row>
    <row r="162" spans="1:33" s="43" customFormat="1" ht="77.25" customHeight="1">
      <c r="A162" s="44">
        <f t="shared" si="18"/>
        <v>153</v>
      </c>
      <c r="B162" s="383" t="s">
        <v>347</v>
      </c>
      <c r="C162" s="34" t="s">
        <v>41</v>
      </c>
      <c r="D162" s="73" t="s">
        <v>54</v>
      </c>
      <c r="E162" s="384" t="s">
        <v>23</v>
      </c>
      <c r="F162" s="385">
        <v>385</v>
      </c>
      <c r="G162" s="386">
        <v>55</v>
      </c>
      <c r="H162" s="387">
        <v>0.84</v>
      </c>
      <c r="I162" s="388">
        <f>K162/J162</f>
        <v>0.67034288689279764</v>
      </c>
      <c r="J162" s="344">
        <v>303482</v>
      </c>
      <c r="K162" s="344">
        <f>203437</f>
        <v>203437</v>
      </c>
      <c r="L162" s="344">
        <v>0</v>
      </c>
      <c r="M162" s="40">
        <f t="shared" si="17"/>
        <v>100045</v>
      </c>
      <c r="N162" s="389" t="s">
        <v>348</v>
      </c>
      <c r="O162" s="390" t="s">
        <v>349</v>
      </c>
      <c r="P162" s="42"/>
    </row>
    <row r="163" spans="1:33" s="118" customFormat="1" ht="77.25" customHeight="1">
      <c r="A163" s="44">
        <f t="shared" si="18"/>
        <v>154</v>
      </c>
      <c r="B163" s="383" t="s">
        <v>350</v>
      </c>
      <c r="C163" s="34" t="s">
        <v>41</v>
      </c>
      <c r="D163" s="73" t="s">
        <v>54</v>
      </c>
      <c r="E163" s="72" t="s">
        <v>23</v>
      </c>
      <c r="F163" s="385">
        <v>1254</v>
      </c>
      <c r="G163" s="386">
        <v>44</v>
      </c>
      <c r="H163" s="387">
        <v>0</v>
      </c>
      <c r="I163" s="391">
        <v>0</v>
      </c>
      <c r="J163" s="344">
        <v>307454</v>
      </c>
      <c r="K163" s="344">
        <v>0</v>
      </c>
      <c r="L163" s="344">
        <v>0</v>
      </c>
      <c r="M163" s="40">
        <f t="shared" si="17"/>
        <v>307454</v>
      </c>
      <c r="N163" s="389" t="s">
        <v>66</v>
      </c>
      <c r="O163" s="77" t="s">
        <v>349</v>
      </c>
      <c r="P163" s="392" t="s">
        <v>351</v>
      </c>
    </row>
    <row r="164" spans="1:33" s="43" customFormat="1" ht="77.25" customHeight="1">
      <c r="A164" s="44">
        <f t="shared" si="18"/>
        <v>155</v>
      </c>
      <c r="B164" s="219" t="s">
        <v>352</v>
      </c>
      <c r="C164" s="34" t="s">
        <v>41</v>
      </c>
      <c r="D164" s="73" t="s">
        <v>54</v>
      </c>
      <c r="E164" s="72" t="s">
        <v>23</v>
      </c>
      <c r="F164" s="117">
        <v>714</v>
      </c>
      <c r="G164" s="74">
        <v>45</v>
      </c>
      <c r="H164" s="75">
        <v>4.0000000000000001E-3</v>
      </c>
      <c r="I164" s="248">
        <f>K164/J164</f>
        <v>3.1349759521093951E-3</v>
      </c>
      <c r="J164" s="40">
        <v>662844</v>
      </c>
      <c r="K164" s="40">
        <f>2078</f>
        <v>2078</v>
      </c>
      <c r="L164" s="40">
        <v>175</v>
      </c>
      <c r="M164" s="40">
        <f t="shared" si="17"/>
        <v>660591</v>
      </c>
      <c r="N164" s="73" t="s">
        <v>183</v>
      </c>
      <c r="O164" s="77" t="s">
        <v>349</v>
      </c>
      <c r="P164" s="42" t="s">
        <v>353</v>
      </c>
    </row>
    <row r="165" spans="1:33" s="43" customFormat="1" ht="77.25" customHeight="1">
      <c r="A165" s="44">
        <f t="shared" si="18"/>
        <v>156</v>
      </c>
      <c r="B165" s="393" t="s">
        <v>354</v>
      </c>
      <c r="C165" s="34" t="s">
        <v>41</v>
      </c>
      <c r="D165" s="73" t="s">
        <v>54</v>
      </c>
      <c r="E165" s="73" t="s">
        <v>23</v>
      </c>
      <c r="F165" s="34">
        <v>1253</v>
      </c>
      <c r="G165" s="74">
        <v>52</v>
      </c>
      <c r="H165" s="248">
        <v>0.32800000000000001</v>
      </c>
      <c r="I165" s="248">
        <f>K165/J165</f>
        <v>0.31077187301160319</v>
      </c>
      <c r="J165" s="40">
        <v>193309</v>
      </c>
      <c r="K165" s="40">
        <f>59605+470</f>
        <v>60075</v>
      </c>
      <c r="L165" s="40">
        <v>0</v>
      </c>
      <c r="M165" s="40">
        <f t="shared" si="17"/>
        <v>133234</v>
      </c>
      <c r="N165" s="73" t="s">
        <v>66</v>
      </c>
      <c r="O165" s="351" t="s">
        <v>264</v>
      </c>
      <c r="P165" s="42"/>
    </row>
    <row r="166" spans="1:33" s="43" customFormat="1" ht="77.25" customHeight="1">
      <c r="A166" s="44">
        <f t="shared" si="18"/>
        <v>157</v>
      </c>
      <c r="B166" s="119" t="s">
        <v>355</v>
      </c>
      <c r="C166" s="34" t="s">
        <v>41</v>
      </c>
      <c r="D166" s="73" t="s">
        <v>54</v>
      </c>
      <c r="E166" s="72" t="s">
        <v>23</v>
      </c>
      <c r="F166" s="117">
        <v>1123</v>
      </c>
      <c r="G166" s="74">
        <v>41</v>
      </c>
      <c r="H166" s="75">
        <v>0</v>
      </c>
      <c r="I166" s="37">
        <v>0</v>
      </c>
      <c r="J166" s="40">
        <v>163036</v>
      </c>
      <c r="K166" s="40">
        <v>0</v>
      </c>
      <c r="L166" s="40">
        <v>1845</v>
      </c>
      <c r="M166" s="40">
        <f t="shared" si="17"/>
        <v>161191</v>
      </c>
      <c r="N166" s="73" t="s">
        <v>66</v>
      </c>
      <c r="O166" s="217" t="s">
        <v>349</v>
      </c>
      <c r="P166" s="42" t="s">
        <v>356</v>
      </c>
    </row>
    <row r="167" spans="1:33" s="43" customFormat="1" ht="77.25" customHeight="1">
      <c r="A167" s="44">
        <f t="shared" si="18"/>
        <v>158</v>
      </c>
      <c r="B167" s="290" t="s">
        <v>357</v>
      </c>
      <c r="C167" s="34" t="s">
        <v>41</v>
      </c>
      <c r="D167" s="73" t="s">
        <v>54</v>
      </c>
      <c r="E167" s="73" t="s">
        <v>23</v>
      </c>
      <c r="F167" s="34">
        <v>1237</v>
      </c>
      <c r="G167" s="74">
        <v>61</v>
      </c>
      <c r="H167" s="248">
        <v>0.76</v>
      </c>
      <c r="I167" s="248">
        <f>K167/J167</f>
        <v>0.48436790861370621</v>
      </c>
      <c r="J167" s="40">
        <v>116779</v>
      </c>
      <c r="K167" s="40">
        <f>56498+66</f>
        <v>56564</v>
      </c>
      <c r="L167" s="40">
        <v>158</v>
      </c>
      <c r="M167" s="40">
        <f t="shared" si="17"/>
        <v>60057</v>
      </c>
      <c r="N167" s="73" t="s">
        <v>52</v>
      </c>
      <c r="O167" s="351" t="s">
        <v>264</v>
      </c>
      <c r="P167" s="394" t="s">
        <v>358</v>
      </c>
    </row>
    <row r="168" spans="1:33" s="43" customFormat="1" ht="77.25" customHeight="1">
      <c r="A168" s="44">
        <f t="shared" si="18"/>
        <v>159</v>
      </c>
      <c r="B168" s="395" t="s">
        <v>359</v>
      </c>
      <c r="C168" s="396" t="s">
        <v>41</v>
      </c>
      <c r="D168" s="397" t="s">
        <v>51</v>
      </c>
      <c r="E168" s="398" t="s">
        <v>23</v>
      </c>
      <c r="F168" s="399">
        <v>826</v>
      </c>
      <c r="G168" s="400">
        <v>39</v>
      </c>
      <c r="H168" s="401">
        <v>0.3931</v>
      </c>
      <c r="I168" s="401">
        <f>K168/J168</f>
        <v>0.42292945295754397</v>
      </c>
      <c r="J168" s="402">
        <v>300452</v>
      </c>
      <c r="K168" s="402">
        <f>127070+0</f>
        <v>127070</v>
      </c>
      <c r="L168" s="402">
        <v>5959</v>
      </c>
      <c r="M168" s="403">
        <f t="shared" si="17"/>
        <v>167423</v>
      </c>
      <c r="N168" s="404">
        <v>2030</v>
      </c>
      <c r="O168" s="405" t="s">
        <v>349</v>
      </c>
      <c r="P168" s="406"/>
    </row>
    <row r="169" spans="1:33" ht="16.5" customHeight="1">
      <c r="A169" s="1224" t="s">
        <v>360</v>
      </c>
      <c r="B169" s="1224"/>
      <c r="C169" s="407">
        <f>COUNT(A10:A168)</f>
        <v>159</v>
      </c>
      <c r="D169" s="407"/>
      <c r="E169" s="407"/>
      <c r="F169" s="407"/>
      <c r="G169" s="408"/>
      <c r="H169" s="409"/>
      <c r="I169" s="409"/>
      <c r="J169" s="408">
        <f>SUM(J10:J168)</f>
        <v>279149929</v>
      </c>
      <c r="K169" s="408">
        <f>SUM(K10:K168)</f>
        <v>59788511.159999996</v>
      </c>
      <c r="L169" s="408">
        <f>SUM(L10:L168)</f>
        <v>16773892</v>
      </c>
      <c r="M169" s="408">
        <f>SUM(M10:M168)</f>
        <v>202587525.84</v>
      </c>
      <c r="N169" s="410"/>
      <c r="O169" s="411"/>
      <c r="P169" s="412"/>
    </row>
    <row r="170" spans="1:33" s="421" customFormat="1" ht="25.5">
      <c r="A170" s="413" t="s">
        <v>361</v>
      </c>
      <c r="B170" s="414"/>
      <c r="C170" s="415"/>
      <c r="D170" s="415"/>
      <c r="E170" s="415"/>
      <c r="F170" s="416"/>
      <c r="G170" s="417"/>
      <c r="H170" s="416"/>
      <c r="I170" s="416"/>
      <c r="J170" s="418"/>
      <c r="K170" s="416"/>
      <c r="L170" s="416"/>
      <c r="M170" s="416"/>
      <c r="N170" s="416"/>
      <c r="O170" s="419"/>
      <c r="P170" s="416"/>
      <c r="Q170" s="416"/>
      <c r="R170" s="416"/>
      <c r="S170" s="420"/>
    </row>
    <row r="171" spans="1:33" s="421" customFormat="1" ht="38.25" customHeight="1">
      <c r="A171" s="1225" t="s">
        <v>362</v>
      </c>
      <c r="B171" s="1225"/>
      <c r="C171" s="1225"/>
      <c r="D171" s="1225"/>
      <c r="E171" s="1225"/>
      <c r="F171" s="422"/>
      <c r="G171" s="423"/>
      <c r="H171" s="422"/>
      <c r="I171" s="422"/>
      <c r="J171" s="424"/>
      <c r="K171" s="422"/>
      <c r="L171" s="422"/>
      <c r="M171" s="422"/>
      <c r="N171" s="422"/>
      <c r="O171" s="425"/>
      <c r="P171" s="422"/>
      <c r="Q171" s="422"/>
      <c r="R171" s="416"/>
      <c r="S171" s="420"/>
    </row>
    <row r="172" spans="1:33" s="246" customFormat="1">
      <c r="A172" s="426"/>
      <c r="B172" s="427"/>
      <c r="C172" s="428"/>
      <c r="D172" s="429"/>
      <c r="E172" s="430"/>
      <c r="F172" s="431"/>
      <c r="G172" s="432"/>
      <c r="H172" s="433"/>
      <c r="I172" s="433"/>
      <c r="J172" s="434"/>
      <c r="K172" s="435"/>
      <c r="L172" s="435"/>
      <c r="M172" s="436"/>
      <c r="N172" s="437"/>
      <c r="O172" s="437"/>
      <c r="P172" s="438"/>
      <c r="Q172" s="439"/>
      <c r="R172" s="435"/>
      <c r="S172" s="435"/>
      <c r="T172" s="435"/>
      <c r="U172" s="436"/>
      <c r="V172" s="440"/>
      <c r="W172" s="441"/>
      <c r="X172" s="442"/>
      <c r="Y172" s="443"/>
      <c r="Z172" s="444"/>
      <c r="AA172" s="445"/>
      <c r="AB172" s="445"/>
      <c r="AC172" s="245"/>
      <c r="AD172" s="446"/>
      <c r="AE172" s="244"/>
      <c r="AF172" s="244"/>
      <c r="AG172" s="245"/>
    </row>
    <row r="173" spans="1:33" s="246" customFormat="1" ht="23.25">
      <c r="A173" s="426"/>
      <c r="B173" s="447" t="s">
        <v>363</v>
      </c>
      <c r="C173" s="428"/>
      <c r="D173" s="429"/>
      <c r="E173" s="430"/>
      <c r="F173" s="431"/>
      <c r="G173" s="432"/>
      <c r="H173" s="433"/>
      <c r="I173" s="433"/>
      <c r="J173" s="434"/>
      <c r="K173" s="435"/>
      <c r="L173" s="435"/>
      <c r="M173" s="436"/>
      <c r="N173" s="437"/>
      <c r="O173" s="437"/>
      <c r="P173" s="438"/>
      <c r="Q173" s="439"/>
      <c r="R173" s="435"/>
      <c r="S173" s="435"/>
      <c r="T173" s="435"/>
      <c r="U173" s="436"/>
      <c r="V173" s="440"/>
      <c r="W173" s="441"/>
      <c r="X173" s="442"/>
      <c r="Y173" s="443"/>
      <c r="Z173" s="444"/>
      <c r="AA173" s="445"/>
      <c r="AB173" s="445"/>
      <c r="AC173" s="245"/>
      <c r="AD173" s="446"/>
      <c r="AE173" s="244"/>
      <c r="AF173" s="244"/>
      <c r="AG173" s="245"/>
    </row>
    <row r="174" spans="1:33" s="246" customFormat="1">
      <c r="A174" s="426"/>
      <c r="B174" s="448" t="s">
        <v>54</v>
      </c>
      <c r="C174" s="428"/>
      <c r="D174" s="429"/>
      <c r="E174" s="430"/>
      <c r="F174" s="431"/>
      <c r="G174" s="432"/>
      <c r="H174" s="433"/>
      <c r="I174" s="433"/>
      <c r="J174" s="434"/>
      <c r="K174" s="435"/>
      <c r="L174" s="435"/>
      <c r="M174" s="436"/>
      <c r="N174" s="437"/>
      <c r="O174" s="437"/>
      <c r="P174" s="438"/>
      <c r="Q174" s="439"/>
      <c r="R174" s="435"/>
      <c r="S174" s="435"/>
      <c r="T174" s="435"/>
      <c r="U174" s="436"/>
      <c r="V174" s="440"/>
      <c r="W174" s="441"/>
      <c r="X174" s="442"/>
      <c r="Y174" s="443"/>
      <c r="Z174" s="444"/>
      <c r="AA174" s="445"/>
      <c r="AB174" s="445"/>
      <c r="AC174" s="245"/>
      <c r="AD174" s="446"/>
      <c r="AE174" s="244"/>
      <c r="AF174" s="244"/>
      <c r="AG174" s="245"/>
    </row>
    <row r="175" spans="1:33" s="246" customFormat="1" ht="15.75" customHeight="1">
      <c r="A175" s="1219" t="s">
        <v>364</v>
      </c>
      <c r="B175" s="1219"/>
      <c r="C175" s="1219"/>
      <c r="D175" s="1219"/>
      <c r="E175" s="1219"/>
      <c r="F175" s="1219"/>
      <c r="G175" s="1219"/>
      <c r="H175" s="1219"/>
      <c r="I175" s="1219"/>
      <c r="J175" s="1219"/>
      <c r="K175" s="449"/>
      <c r="L175" s="450"/>
      <c r="M175" s="450"/>
      <c r="N175" s="450"/>
      <c r="O175" s="450"/>
      <c r="P175" s="451"/>
      <c r="Q175" s="451"/>
      <c r="R175" s="450"/>
      <c r="S175" s="450"/>
      <c r="T175" s="450"/>
      <c r="U175" s="450"/>
      <c r="V175" s="452"/>
      <c r="W175" s="453"/>
      <c r="X175" s="454"/>
      <c r="Y175" s="455"/>
      <c r="Z175" s="453"/>
      <c r="AA175" s="452"/>
      <c r="AB175" s="452"/>
      <c r="AE175" s="112">
        <f>SUM(AE47:AE117)</f>
        <v>0</v>
      </c>
      <c r="AF175" s="112"/>
    </row>
    <row r="176" spans="1:33" s="246" customFormat="1" ht="17.45" customHeight="1">
      <c r="A176" s="1219" t="s">
        <v>365</v>
      </c>
      <c r="B176" s="1219"/>
      <c r="C176" s="1219"/>
      <c r="D176" s="1219"/>
      <c r="E176" s="1219"/>
      <c r="F176" s="1219"/>
      <c r="G176" s="1219"/>
      <c r="H176" s="1219"/>
      <c r="I176" s="1219"/>
      <c r="J176" s="1219"/>
      <c r="K176" s="449"/>
      <c r="L176" s="450"/>
      <c r="M176" s="450"/>
      <c r="N176" s="450"/>
      <c r="O176" s="450"/>
      <c r="P176" s="451"/>
      <c r="Q176" s="451"/>
      <c r="R176" s="450"/>
      <c r="S176" s="450"/>
      <c r="T176" s="450"/>
      <c r="U176" s="450"/>
      <c r="V176" s="456"/>
      <c r="W176" s="453"/>
      <c r="X176" s="457"/>
      <c r="Y176" s="455"/>
      <c r="Z176" s="453"/>
      <c r="AA176" s="452"/>
      <c r="AB176" s="452"/>
    </row>
    <row r="177" spans="1:98" s="246" customFormat="1" ht="17.45" customHeight="1">
      <c r="A177" s="1219" t="s">
        <v>366</v>
      </c>
      <c r="B177" s="1219"/>
      <c r="C177" s="1219"/>
      <c r="D177" s="1219"/>
      <c r="E177" s="1219"/>
      <c r="F177" s="1219"/>
      <c r="G177" s="1219"/>
      <c r="H177" s="1219"/>
      <c r="I177" s="1219"/>
      <c r="J177" s="1219"/>
      <c r="K177" s="449"/>
      <c r="L177" s="450"/>
      <c r="M177" s="450"/>
      <c r="N177" s="450"/>
      <c r="O177" s="450"/>
      <c r="P177" s="451"/>
      <c r="Q177" s="451"/>
      <c r="R177" s="450"/>
      <c r="S177" s="450"/>
      <c r="T177" s="450"/>
      <c r="U177" s="450"/>
      <c r="V177" s="452"/>
      <c r="W177" s="453"/>
      <c r="X177" s="457"/>
      <c r="Y177" s="458"/>
      <c r="Z177" s="453"/>
      <c r="AA177" s="452"/>
      <c r="AB177" s="452"/>
    </row>
    <row r="178" spans="1:98" s="246" customFormat="1">
      <c r="A178" s="440"/>
      <c r="B178" s="448" t="s">
        <v>367</v>
      </c>
      <c r="C178" s="440"/>
      <c r="D178" s="440"/>
      <c r="E178" s="440"/>
      <c r="F178" s="440"/>
      <c r="G178" s="459"/>
      <c r="H178" s="440"/>
      <c r="I178" s="440"/>
      <c r="J178" s="440"/>
      <c r="K178" s="440"/>
      <c r="L178" s="440"/>
      <c r="M178" s="440"/>
      <c r="N178" s="440"/>
      <c r="O178" s="440"/>
      <c r="P178" s="460"/>
      <c r="Q178" s="460"/>
      <c r="R178" s="461"/>
      <c r="S178" s="440"/>
      <c r="T178" s="462"/>
      <c r="U178" s="462"/>
      <c r="V178" s="462"/>
      <c r="W178" s="463"/>
      <c r="X178" s="463"/>
      <c r="Y178" s="458"/>
      <c r="Z178" s="463"/>
      <c r="AA178" s="462"/>
      <c r="AB178" s="462"/>
    </row>
    <row r="179" spans="1:98" s="246" customFormat="1" ht="15.75" customHeight="1">
      <c r="A179" s="464" t="s">
        <v>368</v>
      </c>
      <c r="B179" s="464"/>
      <c r="C179" s="465"/>
      <c r="D179" s="465"/>
      <c r="E179" s="465"/>
      <c r="F179" s="466"/>
      <c r="G179" s="467"/>
      <c r="H179" s="466"/>
      <c r="I179" s="466"/>
      <c r="J179" s="466"/>
      <c r="K179" s="466"/>
      <c r="L179" s="466"/>
      <c r="M179" s="466"/>
      <c r="N179" s="466"/>
      <c r="O179" s="466"/>
      <c r="P179" s="466"/>
      <c r="Q179" s="466"/>
      <c r="R179" s="464"/>
      <c r="S179" s="468"/>
      <c r="T179" s="469"/>
      <c r="U179" s="469"/>
      <c r="V179" s="469"/>
      <c r="W179" s="470"/>
      <c r="X179" s="471"/>
      <c r="Y179" s="472"/>
      <c r="Z179" s="463"/>
      <c r="AA179" s="462"/>
      <c r="AB179" s="462"/>
    </row>
    <row r="180" spans="1:98" s="246" customFormat="1" ht="18.75">
      <c r="A180" s="466" t="s">
        <v>369</v>
      </c>
      <c r="B180" s="473"/>
      <c r="C180" s="473"/>
      <c r="D180" s="473"/>
      <c r="E180" s="473"/>
      <c r="F180" s="473"/>
      <c r="G180" s="474"/>
      <c r="H180" s="475"/>
      <c r="I180" s="475"/>
      <c r="J180" s="475"/>
      <c r="K180" s="475"/>
      <c r="L180" s="475"/>
      <c r="M180" s="475"/>
      <c r="N180" s="475"/>
      <c r="O180" s="475"/>
      <c r="P180" s="475"/>
      <c r="Q180" s="475"/>
      <c r="R180" s="475"/>
      <c r="S180" s="475"/>
      <c r="T180" s="1220"/>
      <c r="U180" s="1220"/>
      <c r="V180" s="1220"/>
      <c r="W180" s="1220"/>
      <c r="X180" s="458"/>
      <c r="Y180" s="472"/>
      <c r="Z180" s="476"/>
      <c r="AA180" s="477"/>
      <c r="AB180" s="477"/>
      <c r="AC180" s="477"/>
      <c r="AD180" s="477"/>
      <c r="AE180" s="477"/>
      <c r="AF180" s="477"/>
      <c r="AG180" s="477"/>
      <c r="AH180" s="477"/>
      <c r="AI180" s="477"/>
      <c r="AJ180" s="477"/>
      <c r="AK180" s="477"/>
      <c r="AL180" s="477"/>
      <c r="AM180" s="477"/>
      <c r="AN180" s="477"/>
      <c r="AO180" s="477"/>
      <c r="AP180" s="477"/>
      <c r="AQ180" s="477"/>
      <c r="AR180" s="477"/>
      <c r="AS180" s="477"/>
      <c r="AT180" s="477"/>
      <c r="AU180" s="477"/>
      <c r="AV180" s="477"/>
      <c r="AW180" s="477"/>
      <c r="AX180" s="477"/>
      <c r="AY180" s="477"/>
      <c r="AZ180" s="477"/>
      <c r="BA180" s="477"/>
      <c r="BB180" s="477"/>
      <c r="BC180" s="477"/>
      <c r="BD180" s="477"/>
      <c r="BE180" s="477"/>
      <c r="BF180" s="477"/>
      <c r="BG180" s="477"/>
      <c r="BH180" s="477"/>
      <c r="BI180" s="477"/>
      <c r="BJ180" s="477"/>
      <c r="BK180" s="477"/>
      <c r="BL180" s="477"/>
      <c r="BM180" s="477"/>
      <c r="BN180" s="477"/>
      <c r="BO180" s="477"/>
      <c r="BP180" s="477"/>
      <c r="BQ180" s="477"/>
      <c r="BR180" s="477"/>
      <c r="BS180" s="477"/>
      <c r="BT180" s="477"/>
      <c r="BU180" s="477"/>
      <c r="BV180" s="477"/>
      <c r="BW180" s="477"/>
      <c r="BX180" s="477"/>
      <c r="BY180" s="477"/>
      <c r="BZ180" s="477"/>
      <c r="CA180" s="477"/>
      <c r="CB180" s="477"/>
      <c r="CC180" s="477"/>
      <c r="CD180" s="477"/>
      <c r="CE180" s="477"/>
      <c r="CF180" s="477"/>
      <c r="CG180" s="477"/>
      <c r="CH180" s="477"/>
      <c r="CI180" s="477"/>
      <c r="CJ180" s="477"/>
      <c r="CK180" s="477"/>
      <c r="CL180" s="477"/>
      <c r="CM180" s="477"/>
      <c r="CN180" s="477"/>
      <c r="CO180" s="477"/>
      <c r="CP180" s="477"/>
      <c r="CQ180" s="477"/>
      <c r="CR180" s="477"/>
      <c r="CS180" s="477"/>
      <c r="CT180" s="477"/>
    </row>
    <row r="181" spans="1:98" s="246" customFormat="1" ht="18.75">
      <c r="A181" s="466"/>
      <c r="B181" s="466" t="s">
        <v>370</v>
      </c>
      <c r="C181" s="473"/>
      <c r="D181" s="473"/>
      <c r="E181" s="473"/>
      <c r="F181" s="473"/>
      <c r="G181" s="474"/>
      <c r="H181" s="475"/>
      <c r="I181" s="475"/>
      <c r="J181" s="475"/>
      <c r="K181" s="475"/>
      <c r="L181" s="475"/>
      <c r="M181" s="475"/>
      <c r="N181" s="475"/>
      <c r="O181" s="475"/>
      <c r="P181" s="475"/>
      <c r="Q181" s="475"/>
      <c r="R181" s="475"/>
      <c r="S181" s="475"/>
      <c r="T181" s="478"/>
      <c r="U181" s="478"/>
      <c r="V181" s="479"/>
      <c r="W181" s="480"/>
      <c r="X181" s="458"/>
      <c r="Y181" s="458"/>
      <c r="Z181" s="476"/>
      <c r="AA181" s="477"/>
      <c r="AB181" s="477"/>
      <c r="AC181" s="477"/>
      <c r="AD181" s="477"/>
      <c r="AE181" s="477"/>
      <c r="AF181" s="477"/>
      <c r="AG181" s="477"/>
      <c r="AH181" s="477"/>
      <c r="AI181" s="477"/>
      <c r="AJ181" s="477"/>
      <c r="AK181" s="477"/>
      <c r="AL181" s="477"/>
      <c r="AM181" s="477"/>
      <c r="AN181" s="477"/>
      <c r="AO181" s="477"/>
      <c r="AP181" s="477"/>
      <c r="AQ181" s="477"/>
      <c r="AR181" s="477"/>
      <c r="AS181" s="477"/>
      <c r="AT181" s="477"/>
      <c r="AU181" s="477"/>
      <c r="AV181" s="477"/>
      <c r="AW181" s="477"/>
      <c r="AX181" s="477"/>
      <c r="AY181" s="477"/>
      <c r="AZ181" s="477"/>
      <c r="BA181" s="477"/>
      <c r="BB181" s="477"/>
      <c r="BC181" s="477"/>
      <c r="BD181" s="477"/>
      <c r="BE181" s="477"/>
      <c r="BF181" s="477"/>
      <c r="BG181" s="477"/>
      <c r="BH181" s="477"/>
      <c r="BI181" s="477"/>
      <c r="BJ181" s="477"/>
      <c r="BK181" s="477"/>
      <c r="BL181" s="477"/>
      <c r="BM181" s="477"/>
      <c r="BN181" s="477"/>
      <c r="BO181" s="477"/>
      <c r="BP181" s="477"/>
      <c r="BQ181" s="477"/>
      <c r="BR181" s="477"/>
      <c r="BS181" s="477"/>
      <c r="BT181" s="477"/>
      <c r="BU181" s="477"/>
      <c r="BV181" s="477"/>
      <c r="BW181" s="477"/>
      <c r="BX181" s="477"/>
      <c r="BY181" s="477"/>
      <c r="BZ181" s="477"/>
      <c r="CA181" s="477"/>
      <c r="CB181" s="477"/>
      <c r="CC181" s="477"/>
      <c r="CD181" s="477"/>
      <c r="CE181" s="477"/>
      <c r="CF181" s="477"/>
      <c r="CG181" s="477"/>
      <c r="CH181" s="477"/>
      <c r="CI181" s="477"/>
      <c r="CJ181" s="477"/>
      <c r="CK181" s="477"/>
      <c r="CL181" s="477"/>
      <c r="CM181" s="477"/>
      <c r="CN181" s="477"/>
      <c r="CO181" s="477"/>
      <c r="CP181" s="477"/>
      <c r="CQ181" s="477"/>
      <c r="CR181" s="477"/>
      <c r="CS181" s="477"/>
      <c r="CT181" s="477"/>
    </row>
    <row r="182" spans="1:98" s="246" customFormat="1" ht="18.75" customHeight="1">
      <c r="A182" s="466"/>
      <c r="B182" s="1221" t="s">
        <v>371</v>
      </c>
      <c r="C182" s="1221"/>
      <c r="D182" s="1221"/>
      <c r="E182" s="1221"/>
      <c r="F182" s="1221"/>
      <c r="G182" s="1221"/>
      <c r="H182" s="1221"/>
      <c r="I182" s="1221"/>
      <c r="J182" s="1221"/>
      <c r="K182" s="1221"/>
      <c r="L182" s="1221"/>
      <c r="M182" s="1221"/>
      <c r="N182" s="1221"/>
      <c r="O182" s="1221"/>
      <c r="P182" s="1221"/>
      <c r="Q182" s="1221"/>
      <c r="R182" s="1221"/>
      <c r="S182" s="1221"/>
      <c r="T182" s="478"/>
      <c r="U182" s="478"/>
      <c r="V182" s="479"/>
      <c r="W182" s="480"/>
      <c r="X182" s="458"/>
      <c r="Y182" s="458"/>
      <c r="Z182" s="476"/>
      <c r="AA182" s="477"/>
      <c r="AB182" s="477"/>
      <c r="AC182" s="477"/>
      <c r="AD182" s="477"/>
      <c r="AE182" s="477"/>
      <c r="AF182" s="477"/>
      <c r="AG182" s="477"/>
      <c r="AH182" s="477"/>
      <c r="AI182" s="477"/>
      <c r="AJ182" s="477"/>
      <c r="AK182" s="477"/>
      <c r="AL182" s="477"/>
      <c r="AM182" s="477"/>
      <c r="AN182" s="477"/>
      <c r="AO182" s="477"/>
      <c r="AP182" s="477"/>
      <c r="AQ182" s="477"/>
      <c r="AR182" s="477"/>
      <c r="AS182" s="477"/>
      <c r="AT182" s="477"/>
      <c r="AU182" s="477"/>
      <c r="AV182" s="477"/>
      <c r="AW182" s="477"/>
      <c r="AX182" s="477"/>
      <c r="AY182" s="477"/>
      <c r="AZ182" s="477"/>
      <c r="BA182" s="477"/>
      <c r="BB182" s="477"/>
      <c r="BC182" s="477"/>
      <c r="BD182" s="477"/>
      <c r="BE182" s="477"/>
      <c r="BF182" s="477"/>
      <c r="BG182" s="477"/>
      <c r="BH182" s="477"/>
      <c r="BI182" s="477"/>
      <c r="BJ182" s="477"/>
      <c r="BK182" s="477"/>
      <c r="BL182" s="477"/>
      <c r="BM182" s="477"/>
      <c r="BN182" s="477"/>
      <c r="BO182" s="477"/>
      <c r="BP182" s="477"/>
      <c r="BQ182" s="477"/>
      <c r="BR182" s="477"/>
      <c r="BS182" s="477"/>
      <c r="BT182" s="477"/>
      <c r="BU182" s="477"/>
      <c r="BV182" s="477"/>
      <c r="BW182" s="477"/>
      <c r="BX182" s="477"/>
      <c r="BY182" s="477"/>
      <c r="BZ182" s="477"/>
      <c r="CA182" s="477"/>
      <c r="CB182" s="477"/>
      <c r="CC182" s="477"/>
      <c r="CD182" s="477"/>
      <c r="CE182" s="477"/>
      <c r="CF182" s="477"/>
      <c r="CG182" s="477"/>
      <c r="CH182" s="477"/>
      <c r="CI182" s="477"/>
      <c r="CJ182" s="477"/>
      <c r="CK182" s="477"/>
      <c r="CL182" s="477"/>
      <c r="CM182" s="477"/>
      <c r="CN182" s="477"/>
      <c r="CO182" s="477"/>
      <c r="CP182" s="477"/>
      <c r="CQ182" s="477"/>
      <c r="CR182" s="477"/>
      <c r="CS182" s="477"/>
      <c r="CT182" s="477"/>
    </row>
    <row r="183" spans="1:98" s="246" customFormat="1" ht="18.75">
      <c r="A183" s="466"/>
      <c r="B183" s="466" t="s">
        <v>372</v>
      </c>
      <c r="C183" s="473"/>
      <c r="D183" s="473"/>
      <c r="E183" s="473"/>
      <c r="F183" s="473"/>
      <c r="G183" s="474"/>
      <c r="H183" s="475"/>
      <c r="I183" s="475"/>
      <c r="J183" s="475"/>
      <c r="K183" s="475"/>
      <c r="L183" s="475"/>
      <c r="M183" s="475"/>
      <c r="N183" s="475"/>
      <c r="O183" s="475"/>
      <c r="P183" s="475"/>
      <c r="Q183" s="475"/>
      <c r="R183" s="475"/>
      <c r="S183" s="475"/>
      <c r="T183" s="481"/>
      <c r="U183" s="481"/>
      <c r="V183" s="481"/>
      <c r="W183" s="482"/>
      <c r="X183" s="458"/>
      <c r="Y183" s="458"/>
      <c r="Z183" s="483"/>
      <c r="AA183" s="484"/>
      <c r="AB183" s="484"/>
    </row>
    <row r="184" spans="1:98" s="246" customFormat="1" ht="18.75">
      <c r="A184" s="466"/>
      <c r="B184" s="466" t="s">
        <v>373</v>
      </c>
      <c r="C184" s="473"/>
      <c r="D184" s="473"/>
      <c r="E184" s="473"/>
      <c r="F184" s="473"/>
      <c r="G184" s="485"/>
      <c r="H184" s="475"/>
      <c r="I184" s="475"/>
      <c r="J184" s="475"/>
      <c r="K184" s="475"/>
      <c r="L184" s="475"/>
      <c r="M184" s="475"/>
      <c r="N184" s="475"/>
      <c r="O184" s="475"/>
      <c r="P184" s="475"/>
      <c r="Q184" s="475"/>
      <c r="R184" s="475"/>
      <c r="S184" s="475"/>
      <c r="T184" s="1220"/>
      <c r="U184" s="1220"/>
      <c r="V184" s="1220"/>
      <c r="W184" s="1220"/>
      <c r="X184" s="486"/>
      <c r="Y184" s="458"/>
      <c r="Z184" s="472"/>
      <c r="AA184" s="472"/>
      <c r="AB184" s="472"/>
      <c r="AF184" s="244"/>
    </row>
    <row r="185" spans="1:98" s="246" customFormat="1" ht="18.75">
      <c r="A185" s="1222" t="s">
        <v>374</v>
      </c>
      <c r="B185" s="1222"/>
      <c r="C185" s="465"/>
      <c r="D185" s="465"/>
      <c r="E185" s="465"/>
      <c r="F185" s="466"/>
      <c r="G185" s="467"/>
      <c r="H185" s="466"/>
      <c r="I185" s="466"/>
      <c r="J185" s="466"/>
      <c r="K185" s="466"/>
      <c r="L185" s="466"/>
      <c r="M185" s="466"/>
      <c r="N185" s="466"/>
      <c r="O185" s="466"/>
      <c r="P185" s="466"/>
      <c r="Q185" s="466"/>
      <c r="R185" s="464"/>
      <c r="S185" s="468"/>
      <c r="T185" s="487"/>
      <c r="U185" s="487"/>
      <c r="V185" s="488"/>
      <c r="W185" s="482"/>
      <c r="X185" s="458"/>
      <c r="Y185" s="455"/>
      <c r="Z185" s="483"/>
      <c r="AA185" s="484"/>
      <c r="AB185" s="484"/>
    </row>
    <row r="186" spans="1:98" s="246" customFormat="1" ht="18.75">
      <c r="A186" s="489"/>
      <c r="B186" s="448" t="s">
        <v>375</v>
      </c>
      <c r="C186" s="490"/>
      <c r="D186" s="490"/>
      <c r="E186" s="490"/>
      <c r="F186" s="491"/>
      <c r="G186" s="492"/>
      <c r="H186" s="493"/>
      <c r="I186" s="493"/>
      <c r="J186" s="494"/>
      <c r="K186" s="493"/>
      <c r="L186" s="495"/>
      <c r="M186" s="496"/>
      <c r="N186" s="496"/>
      <c r="O186" s="496"/>
      <c r="P186" s="496"/>
      <c r="Q186" s="496"/>
      <c r="R186" s="497"/>
      <c r="S186" s="497"/>
      <c r="T186" s="498"/>
      <c r="U186" s="498"/>
      <c r="V186" s="499"/>
      <c r="W186" s="500"/>
      <c r="X186" s="501"/>
      <c r="Y186" s="455"/>
      <c r="Z186" s="455"/>
    </row>
    <row r="187" spans="1:98" s="502" customFormat="1" ht="94.5" customHeight="1">
      <c r="A187" s="502" t="s">
        <v>376</v>
      </c>
    </row>
    <row r="188" spans="1:98" s="502" customFormat="1" ht="138" customHeight="1"/>
    <row r="189" spans="1:98" s="517" customFormat="1" hidden="1">
      <c r="A189" s="503"/>
      <c r="B189" s="504"/>
      <c r="C189" s="505"/>
      <c r="D189" s="505"/>
      <c r="E189" s="506"/>
      <c r="F189" s="507"/>
      <c r="G189" s="508"/>
      <c r="H189" s="507"/>
      <c r="I189" s="507"/>
      <c r="J189" s="509"/>
      <c r="K189" s="510"/>
      <c r="L189" s="510"/>
      <c r="M189" s="511"/>
      <c r="N189" s="512"/>
      <c r="O189" s="513"/>
      <c r="P189" s="514"/>
      <c r="Q189" s="515"/>
      <c r="R189" s="516"/>
    </row>
    <row r="190" spans="1:98" s="517" customFormat="1" ht="15" hidden="1" customHeight="1">
      <c r="A190" s="503"/>
      <c r="B190" s="504" t="s">
        <v>377</v>
      </c>
      <c r="C190" s="503"/>
      <c r="D190" s="503"/>
      <c r="E190" s="510" t="s">
        <v>378</v>
      </c>
      <c r="F190" s="510" t="s">
        <v>379</v>
      </c>
      <c r="G190" s="518" t="s">
        <v>380</v>
      </c>
      <c r="H190" s="519" t="s">
        <v>381</v>
      </c>
      <c r="I190" s="520" t="s">
        <v>382</v>
      </c>
      <c r="J190" s="521" t="s">
        <v>383</v>
      </c>
      <c r="K190" s="522"/>
      <c r="L190" s="522"/>
      <c r="M190" s="523"/>
      <c r="N190" s="524" t="s">
        <v>384</v>
      </c>
      <c r="O190" s="525" t="s">
        <v>385</v>
      </c>
      <c r="P190" s="514" t="s">
        <v>386</v>
      </c>
      <c r="Q190" s="526" t="s">
        <v>387</v>
      </c>
      <c r="R190" s="527" t="s">
        <v>388</v>
      </c>
      <c r="S190" s="528" t="s">
        <v>389</v>
      </c>
      <c r="T190" s="528" t="s">
        <v>390</v>
      </c>
      <c r="U190" s="528" t="s">
        <v>391</v>
      </c>
      <c r="V190" s="517" t="s">
        <v>392</v>
      </c>
      <c r="W190" s="517" t="s">
        <v>393</v>
      </c>
      <c r="X190" s="517" t="s">
        <v>394</v>
      </c>
    </row>
    <row r="191" spans="1:98" s="517" customFormat="1" ht="15" hidden="1" customHeight="1">
      <c r="A191" s="529">
        <v>1</v>
      </c>
      <c r="B191" s="530" t="s">
        <v>395</v>
      </c>
      <c r="C191" s="531" t="s">
        <v>41</v>
      </c>
      <c r="D191" s="531">
        <f>COUNTIF($C$10:$C$168,"MTI")</f>
        <v>108</v>
      </c>
      <c r="E191" s="532">
        <f>D191/D200</f>
        <v>0.68354430379746833</v>
      </c>
      <c r="F191" s="533">
        <f>COUNTIFS($C$10:$C$168,"MTI",$H$10:$H$168,"0,00%")</f>
        <v>49</v>
      </c>
      <c r="G191" s="534">
        <f>COUNTIFS($C$10:$C$168,"MTI",$H$10:$H$168,"&gt;0,00%")-COUNTIFS($C$10:$C$168,"MTI",$H$10:$H$168,"100,00%")</f>
        <v>53</v>
      </c>
      <c r="H191" s="535">
        <f>COUNTIFS($C$10:$C$185,"MTI",$H$10:$H$185,"100,00%")</f>
        <v>0</v>
      </c>
      <c r="I191" s="536">
        <f t="shared" ref="I191:I199" si="21">D191-F191-G191-H191</f>
        <v>6</v>
      </c>
      <c r="J191" s="537">
        <f t="shared" ref="J191:J199" si="22">F191+G191</f>
        <v>102</v>
      </c>
      <c r="K191" s="538"/>
      <c r="L191" s="538"/>
      <c r="M191" s="539" t="s">
        <v>41</v>
      </c>
      <c r="N191" s="540">
        <f t="shared" ref="N191:N199" si="23">SUMIF($C$10:$C$168,$C191,J$10:J$168)</f>
        <v>251591859</v>
      </c>
      <c r="O191" s="541">
        <f t="shared" ref="O191:O199" si="24">SUMIF($C$10:$C$168,$C191,M$10:M$168)</f>
        <v>180356984.84</v>
      </c>
      <c r="P191" s="542">
        <f t="shared" ref="P191:P197" si="25">I204+C204</f>
        <v>251591859</v>
      </c>
      <c r="Q191" s="515">
        <f t="shared" ref="Q191:Q197" si="26">E204</f>
        <v>0</v>
      </c>
      <c r="R191" s="543">
        <f t="shared" ref="R191:R197" si="27">I217</f>
        <v>105111095.84</v>
      </c>
      <c r="S191" s="544">
        <f t="shared" ref="S191:S197" si="28">E217</f>
        <v>0</v>
      </c>
      <c r="T191" s="544">
        <f t="shared" ref="T191:T200" si="29">N191-P191-Q191</f>
        <v>0</v>
      </c>
      <c r="U191" s="544">
        <f t="shared" ref="U191:U200" si="30">O191-R191-S191</f>
        <v>75245889</v>
      </c>
      <c r="V191" s="544">
        <f t="shared" ref="V191:V200" si="31">J191</f>
        <v>102</v>
      </c>
      <c r="W191" s="544">
        <f t="shared" ref="W191:W200" si="32">H191</f>
        <v>0</v>
      </c>
      <c r="X191" s="544">
        <f t="shared" ref="X191:X200" si="33">V191+W191</f>
        <v>102</v>
      </c>
    </row>
    <row r="192" spans="1:98" s="517" customFormat="1" ht="15" hidden="1" customHeight="1">
      <c r="A192" s="529">
        <v>2</v>
      </c>
      <c r="B192" s="545" t="s">
        <v>396</v>
      </c>
      <c r="C192" s="531" t="s">
        <v>60</v>
      </c>
      <c r="D192" s="531">
        <f>COUNTIF($C$10:$C$168,"MS")</f>
        <v>9</v>
      </c>
      <c r="E192" s="532">
        <f>D192/D200</f>
        <v>5.6962025316455694E-2</v>
      </c>
      <c r="F192" s="533">
        <f>COUNTIFS($C$10:$C$185,"MS",$H$10:$H$185,"0,00%")</f>
        <v>8</v>
      </c>
      <c r="G192" s="546">
        <f>COUNTIFS($C$24:$C$168,"MS",$H$24:$H$168,"&gt;0,00%")-COUNTIFS($C$24:$C$168,"MS",$H$24:$H$168,"100,00%")</f>
        <v>1</v>
      </c>
      <c r="H192" s="535">
        <f>COUNTIFS($C$24:$C$168,"MS",$H$24:$H$168,"100,00%")</f>
        <v>0</v>
      </c>
      <c r="I192" s="536">
        <f t="shared" si="21"/>
        <v>0</v>
      </c>
      <c r="J192" s="537">
        <f t="shared" si="22"/>
        <v>9</v>
      </c>
      <c r="K192" s="538"/>
      <c r="L192" s="538"/>
      <c r="M192" s="539" t="s">
        <v>60</v>
      </c>
      <c r="N192" s="540">
        <f t="shared" si="23"/>
        <v>9599320</v>
      </c>
      <c r="O192" s="541">
        <f t="shared" si="24"/>
        <v>9356178</v>
      </c>
      <c r="P192" s="542">
        <f t="shared" si="25"/>
        <v>9599320</v>
      </c>
      <c r="Q192" s="515">
        <f t="shared" si="26"/>
        <v>0</v>
      </c>
      <c r="R192" s="543">
        <f t="shared" si="27"/>
        <v>613086</v>
      </c>
      <c r="S192" s="544">
        <f t="shared" si="28"/>
        <v>0</v>
      </c>
      <c r="T192" s="544">
        <f t="shared" si="29"/>
        <v>0</v>
      </c>
      <c r="U192" s="544">
        <f t="shared" si="30"/>
        <v>8743092</v>
      </c>
      <c r="V192" s="544">
        <f t="shared" si="31"/>
        <v>9</v>
      </c>
      <c r="W192" s="544">
        <f t="shared" si="32"/>
        <v>0</v>
      </c>
      <c r="X192" s="544">
        <f t="shared" si="33"/>
        <v>9</v>
      </c>
    </row>
    <row r="193" spans="1:24" s="517" customFormat="1" ht="15" hidden="1" customHeight="1">
      <c r="A193" s="529">
        <v>3</v>
      </c>
      <c r="B193" s="545" t="s">
        <v>397</v>
      </c>
      <c r="C193" s="531" t="s">
        <v>287</v>
      </c>
      <c r="D193" s="531">
        <f>COUNTIF($C$10:$C$168,"MJ")</f>
        <v>2</v>
      </c>
      <c r="E193" s="532">
        <f>D193/D200</f>
        <v>1.2658227848101266E-2</v>
      </c>
      <c r="F193" s="533">
        <f>COUNTIFS($C$24:$C$168,"MJ",$H$24:$H$168,"0,00%")</f>
        <v>2</v>
      </c>
      <c r="G193" s="546">
        <f>COUNTIFS($C$24:$C$168,"MJ",$H$24:$H$168,"&gt;0,00%")-COUNTIFS($C$24:$C$168,"MJ",$H$24:$H$168,"100,00%")</f>
        <v>0</v>
      </c>
      <c r="H193" s="535">
        <f>COUNTIFS($C$24:$C$168,"MJ",$H$24:$H$168,"100,00%")</f>
        <v>0</v>
      </c>
      <c r="I193" s="536">
        <f t="shared" si="21"/>
        <v>0</v>
      </c>
      <c r="J193" s="537">
        <f t="shared" si="22"/>
        <v>2</v>
      </c>
      <c r="K193" s="538"/>
      <c r="L193" s="538"/>
      <c r="M193" s="539" t="s">
        <v>287</v>
      </c>
      <c r="N193" s="540">
        <f t="shared" si="23"/>
        <v>1175463</v>
      </c>
      <c r="O193" s="541">
        <f t="shared" si="24"/>
        <v>1166006</v>
      </c>
      <c r="P193" s="542">
        <f t="shared" si="25"/>
        <v>1175463</v>
      </c>
      <c r="Q193" s="515">
        <f t="shared" si="26"/>
        <v>0</v>
      </c>
      <c r="R193" s="543">
        <f t="shared" si="27"/>
        <v>0</v>
      </c>
      <c r="S193" s="544">
        <f t="shared" si="28"/>
        <v>0</v>
      </c>
      <c r="T193" s="544">
        <f t="shared" si="29"/>
        <v>0</v>
      </c>
      <c r="U193" s="544">
        <f t="shared" si="30"/>
        <v>1166006</v>
      </c>
      <c r="V193" s="544">
        <f t="shared" si="31"/>
        <v>2</v>
      </c>
      <c r="W193" s="544">
        <f t="shared" si="32"/>
        <v>0</v>
      </c>
      <c r="X193" s="544">
        <f t="shared" si="33"/>
        <v>2</v>
      </c>
    </row>
    <row r="194" spans="1:24" s="517" customFormat="1" ht="15" hidden="1" customHeight="1">
      <c r="A194" s="529">
        <v>4</v>
      </c>
      <c r="B194" s="547" t="s">
        <v>398</v>
      </c>
      <c r="C194" s="548" t="s">
        <v>107</v>
      </c>
      <c r="D194" s="531">
        <f>COUNTIF($C$10:$C$168,"MDLPA")</f>
        <v>21</v>
      </c>
      <c r="E194" s="532">
        <f>D194/D200</f>
        <v>0.13291139240506328</v>
      </c>
      <c r="F194" s="533">
        <f>COUNTIFS($C$24:$C$168,"MDLPA",$H$24:$H$168,"0,00%")</f>
        <v>7</v>
      </c>
      <c r="G194" s="546">
        <f>COUNTIFS($C$24:$C$168,"MDLPA",$H$24:$H$168,"&gt;0,00%")-COUNTIFS($C$24:$C$168,"MDLPA",$H$24:$H$168,"100,00%")</f>
        <v>14</v>
      </c>
      <c r="H194" s="535">
        <f>COUNTIFS($C$24:$C$168,"MDLPA",$H$24:$H$168,"100,00%")</f>
        <v>0</v>
      </c>
      <c r="I194" s="536">
        <f t="shared" si="21"/>
        <v>0</v>
      </c>
      <c r="J194" s="537">
        <f t="shared" si="22"/>
        <v>21</v>
      </c>
      <c r="K194" s="538"/>
      <c r="L194" s="538"/>
      <c r="M194" s="548" t="s">
        <v>107</v>
      </c>
      <c r="N194" s="540">
        <f t="shared" si="23"/>
        <v>5026174</v>
      </c>
      <c r="O194" s="541">
        <f t="shared" si="24"/>
        <v>4297306</v>
      </c>
      <c r="P194" s="542">
        <f t="shared" si="25"/>
        <v>5026174</v>
      </c>
      <c r="Q194" s="515">
        <f t="shared" si="26"/>
        <v>0</v>
      </c>
      <c r="R194" s="543">
        <f t="shared" si="27"/>
        <v>2019453</v>
      </c>
      <c r="S194" s="544">
        <f t="shared" si="28"/>
        <v>0</v>
      </c>
      <c r="T194" s="544">
        <f t="shared" si="29"/>
        <v>0</v>
      </c>
      <c r="U194" s="544">
        <f t="shared" si="30"/>
        <v>2277853</v>
      </c>
      <c r="V194" s="544">
        <f t="shared" si="31"/>
        <v>21</v>
      </c>
      <c r="W194" s="544">
        <f t="shared" si="32"/>
        <v>0</v>
      </c>
      <c r="X194" s="544">
        <f t="shared" si="33"/>
        <v>21</v>
      </c>
    </row>
    <row r="195" spans="1:24" s="517" customFormat="1" ht="15" hidden="1" customHeight="1">
      <c r="A195" s="529">
        <v>5</v>
      </c>
      <c r="B195" s="545" t="s">
        <v>399</v>
      </c>
      <c r="C195" s="549" t="s">
        <v>21</v>
      </c>
      <c r="D195" s="531">
        <f>COUNTIF($C$10:$C$168,"MMAP")</f>
        <v>13</v>
      </c>
      <c r="E195" s="532">
        <f>D195/D200</f>
        <v>8.2278481012658222E-2</v>
      </c>
      <c r="F195" s="533">
        <f>COUNTIFS($C$10:$C$168,"MMAP",$H$10:$H$168,"0,00%")</f>
        <v>4</v>
      </c>
      <c r="G195" s="546">
        <f>COUNTIFS($C$10:$C$168,"MMAP",$H$10:$H$168,"&gt;0,00%")-COUNTIFS($C$10:$C$168,"MMAP",$H$10:$H$168,"100,00%")</f>
        <v>9</v>
      </c>
      <c r="H195" s="535">
        <f>COUNTIFS($C$24:$C$168,"MMAP",$H$24:$H$168,"100,00%")</f>
        <v>0</v>
      </c>
      <c r="I195" s="536">
        <f t="shared" si="21"/>
        <v>0</v>
      </c>
      <c r="J195" s="537">
        <f t="shared" si="22"/>
        <v>13</v>
      </c>
      <c r="K195" s="538"/>
      <c r="L195" s="538"/>
      <c r="M195" s="550" t="s">
        <v>21</v>
      </c>
      <c r="N195" s="540">
        <f t="shared" si="23"/>
        <v>7198671</v>
      </c>
      <c r="O195" s="541">
        <f t="shared" si="24"/>
        <v>4845273</v>
      </c>
      <c r="P195" s="542">
        <f t="shared" si="25"/>
        <v>7198671</v>
      </c>
      <c r="Q195" s="515">
        <f t="shared" si="26"/>
        <v>0</v>
      </c>
      <c r="R195" s="543">
        <f t="shared" si="27"/>
        <v>4650567</v>
      </c>
      <c r="S195" s="544">
        <f t="shared" si="28"/>
        <v>0</v>
      </c>
      <c r="T195" s="544">
        <f t="shared" si="29"/>
        <v>0</v>
      </c>
      <c r="U195" s="544">
        <f t="shared" si="30"/>
        <v>194706</v>
      </c>
      <c r="V195" s="544">
        <f t="shared" si="31"/>
        <v>13</v>
      </c>
      <c r="W195" s="544">
        <f t="shared" si="32"/>
        <v>0</v>
      </c>
      <c r="X195" s="544">
        <f t="shared" si="33"/>
        <v>13</v>
      </c>
    </row>
    <row r="196" spans="1:24" s="517" customFormat="1" ht="15" hidden="1" customHeight="1">
      <c r="A196" s="529">
        <v>6</v>
      </c>
      <c r="B196" s="545" t="s">
        <v>400</v>
      </c>
      <c r="C196" s="551" t="s">
        <v>401</v>
      </c>
      <c r="D196" s="531">
        <f>COUNTIF($C$10:$C$168,"MEEMA")</f>
        <v>0</v>
      </c>
      <c r="E196" s="532">
        <f>D196/D200</f>
        <v>0</v>
      </c>
      <c r="F196" s="533">
        <f>COUNTIFS($C$24:$C$168,"ME",$H$24:$H$168,"0,00%")</f>
        <v>0</v>
      </c>
      <c r="G196" s="546">
        <f>COUNTIFS($C$24:$C$168,"ME",$H$24:$H$168,"&gt;0,00%")-COUNTIFS($C$24:$C$168,"ME",$H$24:$H$168,"100,00%")</f>
        <v>0</v>
      </c>
      <c r="H196" s="535">
        <f>COUNTIFS($C$24:$C$168,"ME",$H$24:$H$168,"100,00%")</f>
        <v>0</v>
      </c>
      <c r="I196" s="536">
        <f t="shared" si="21"/>
        <v>0</v>
      </c>
      <c r="J196" s="537">
        <f t="shared" si="22"/>
        <v>0</v>
      </c>
      <c r="K196" s="538"/>
      <c r="L196" s="538"/>
      <c r="M196" s="539" t="s">
        <v>401</v>
      </c>
      <c r="N196" s="540">
        <f t="shared" si="23"/>
        <v>0</v>
      </c>
      <c r="O196" s="541">
        <f t="shared" si="24"/>
        <v>0</v>
      </c>
      <c r="P196" s="542">
        <f t="shared" si="25"/>
        <v>0</v>
      </c>
      <c r="Q196" s="515">
        <f t="shared" si="26"/>
        <v>0</v>
      </c>
      <c r="R196" s="543">
        <f t="shared" si="27"/>
        <v>0</v>
      </c>
      <c r="S196" s="544">
        <f t="shared" si="28"/>
        <v>0</v>
      </c>
      <c r="T196" s="544">
        <f t="shared" si="29"/>
        <v>0</v>
      </c>
      <c r="U196" s="544">
        <f t="shared" si="30"/>
        <v>0</v>
      </c>
      <c r="V196" s="544">
        <f t="shared" si="31"/>
        <v>0</v>
      </c>
      <c r="W196" s="544">
        <f t="shared" si="32"/>
        <v>0</v>
      </c>
      <c r="X196" s="544">
        <f t="shared" si="33"/>
        <v>0</v>
      </c>
    </row>
    <row r="197" spans="1:24" s="517" customFormat="1" ht="15" hidden="1" customHeight="1">
      <c r="A197" s="529">
        <v>7</v>
      </c>
      <c r="B197" s="545" t="s">
        <v>402</v>
      </c>
      <c r="C197" s="531" t="s">
        <v>57</v>
      </c>
      <c r="D197" s="531">
        <f>COUNTIF($C$10:$C$168,"MCID")</f>
        <v>1</v>
      </c>
      <c r="E197" s="532">
        <f>D197/D200</f>
        <v>6.3291139240506328E-3</v>
      </c>
      <c r="F197" s="533">
        <f>COUNTIFS($C$10:$C$168,"MCID",$H$10:$H$168,"0,00%")</f>
        <v>0</v>
      </c>
      <c r="G197" s="546">
        <f>COUNTIFS($C$10:$C$168,"MCID",$H$10:$H$168,"&gt;0,00%")-COUNTIFS($C$10:$C$168,"MCID",$H$10:$H$168,"100,00%")</f>
        <v>1</v>
      </c>
      <c r="H197" s="535">
        <f>COUNTIFS($C$24:$C$168,"MCID",$H$24:$H$168,"100,00%")</f>
        <v>0</v>
      </c>
      <c r="I197" s="536">
        <f t="shared" si="21"/>
        <v>0</v>
      </c>
      <c r="J197" s="537">
        <f t="shared" si="22"/>
        <v>1</v>
      </c>
      <c r="K197" s="538"/>
      <c r="L197" s="538"/>
      <c r="M197" s="539" t="s">
        <v>57</v>
      </c>
      <c r="N197" s="540">
        <f t="shared" si="23"/>
        <v>1739734</v>
      </c>
      <c r="O197" s="541">
        <f t="shared" si="24"/>
        <v>61090</v>
      </c>
      <c r="P197" s="542">
        <f t="shared" si="25"/>
        <v>1739734</v>
      </c>
      <c r="Q197" s="515">
        <f t="shared" si="26"/>
        <v>0</v>
      </c>
      <c r="R197" s="543">
        <f t="shared" si="27"/>
        <v>61090</v>
      </c>
      <c r="S197" s="544">
        <f t="shared" si="28"/>
        <v>0</v>
      </c>
      <c r="T197" s="544">
        <f t="shared" si="29"/>
        <v>0</v>
      </c>
      <c r="U197" s="544">
        <f t="shared" si="30"/>
        <v>0</v>
      </c>
      <c r="V197" s="544">
        <f t="shared" si="31"/>
        <v>1</v>
      </c>
      <c r="W197" s="544">
        <f t="shared" si="32"/>
        <v>0</v>
      </c>
      <c r="X197" s="544">
        <f t="shared" si="33"/>
        <v>1</v>
      </c>
    </row>
    <row r="198" spans="1:24" s="517" customFormat="1" ht="15" hidden="1" customHeight="1">
      <c r="A198" s="529">
        <v>8</v>
      </c>
      <c r="B198" s="545" t="s">
        <v>38</v>
      </c>
      <c r="C198" s="531" t="s">
        <v>38</v>
      </c>
      <c r="D198" s="531">
        <v>1</v>
      </c>
      <c r="E198" s="532">
        <f>D198/D200</f>
        <v>6.3291139240506328E-3</v>
      </c>
      <c r="F198" s="533">
        <f>COUNTIFS($C$10:$C$168,"SPP",$H$10:$H$168,"0,00%")</f>
        <v>0</v>
      </c>
      <c r="G198" s="546">
        <f>COUNTIFS($C$10:$C$168,"SPP",$H$10:$H$168,"&gt;0,00%")-COUNTIFS($C$10:$C$168,"SPP",$H$10:$H$168,"100,00%")</f>
        <v>1</v>
      </c>
      <c r="H198" s="535">
        <f>COUNTIFS($C$10:$C$168,"SPP",$H$10:$H$168,"100,00%")</f>
        <v>0</v>
      </c>
      <c r="I198" s="536">
        <f t="shared" si="21"/>
        <v>0</v>
      </c>
      <c r="J198" s="537">
        <f t="shared" si="22"/>
        <v>1</v>
      </c>
      <c r="K198" s="538"/>
      <c r="L198" s="538"/>
      <c r="M198" s="539" t="s">
        <v>38</v>
      </c>
      <c r="N198" s="540">
        <f t="shared" si="23"/>
        <v>270351</v>
      </c>
      <c r="O198" s="541">
        <f t="shared" si="24"/>
        <v>41263</v>
      </c>
      <c r="P198" s="542">
        <f>I212+C212</f>
        <v>508215</v>
      </c>
      <c r="Q198" s="515">
        <f>E212</f>
        <v>0</v>
      </c>
      <c r="R198" s="543">
        <f>I225</f>
        <v>-74819709</v>
      </c>
      <c r="S198" s="544">
        <f>E225</f>
        <v>0</v>
      </c>
      <c r="T198" s="544">
        <f t="shared" si="29"/>
        <v>-237864</v>
      </c>
      <c r="U198" s="544">
        <f t="shared" si="30"/>
        <v>74860972</v>
      </c>
      <c r="V198" s="544">
        <f t="shared" si="31"/>
        <v>1</v>
      </c>
      <c r="W198" s="544">
        <f t="shared" si="32"/>
        <v>0</v>
      </c>
      <c r="X198" s="544">
        <f t="shared" si="33"/>
        <v>1</v>
      </c>
    </row>
    <row r="199" spans="1:24" s="517" customFormat="1" ht="15" hidden="1" customHeight="1">
      <c r="A199" s="529">
        <v>9</v>
      </c>
      <c r="B199" s="545" t="s">
        <v>403</v>
      </c>
      <c r="C199" s="531" t="s">
        <v>223</v>
      </c>
      <c r="D199" s="531">
        <f>COUNTIF($C$10:$C$168,"MApN")</f>
        <v>3</v>
      </c>
      <c r="E199" s="532">
        <f>D199/D200</f>
        <v>1.8987341772151899E-2</v>
      </c>
      <c r="F199" s="533">
        <f>COUNTIFS($C$10:$C$168,"MApN",$H$10:$H$168,"0,00%")</f>
        <v>3</v>
      </c>
      <c r="G199" s="546">
        <f>COUNTIFS($C$24:$C$168,"MApN",$H$24:$H$168,"&gt;0,00%")-COUNTIFS($C$24:$C$168,"MApN",$H$24:$H$168,"100,00%")</f>
        <v>0</v>
      </c>
      <c r="H199" s="535">
        <f>COUNTIFS($C$10:$C$168,"MApN",$H$10:$H$168,"100,00%")</f>
        <v>0</v>
      </c>
      <c r="I199" s="536">
        <f t="shared" si="21"/>
        <v>0</v>
      </c>
      <c r="J199" s="537">
        <f t="shared" si="22"/>
        <v>3</v>
      </c>
      <c r="K199" s="538"/>
      <c r="L199" s="538"/>
      <c r="M199" s="539" t="str">
        <f>C199</f>
        <v>MApN</v>
      </c>
      <c r="N199" s="540">
        <f t="shared" si="23"/>
        <v>508215</v>
      </c>
      <c r="O199" s="541">
        <f t="shared" si="24"/>
        <v>426180</v>
      </c>
      <c r="P199" s="542">
        <f>I212+C212</f>
        <v>508215</v>
      </c>
      <c r="Q199" s="515">
        <f>E212</f>
        <v>0</v>
      </c>
      <c r="R199" s="543">
        <f>I225</f>
        <v>-74819709</v>
      </c>
      <c r="S199" s="544">
        <f>E225</f>
        <v>0</v>
      </c>
      <c r="T199" s="544">
        <f t="shared" si="29"/>
        <v>0</v>
      </c>
      <c r="U199" s="544">
        <f t="shared" si="30"/>
        <v>75245889</v>
      </c>
      <c r="V199" s="544">
        <f t="shared" si="31"/>
        <v>3</v>
      </c>
      <c r="W199" s="544">
        <f t="shared" si="32"/>
        <v>0</v>
      </c>
      <c r="X199" s="544">
        <f t="shared" si="33"/>
        <v>3</v>
      </c>
    </row>
    <row r="200" spans="1:24" s="517" customFormat="1" ht="15" hidden="1" customHeight="1">
      <c r="A200" s="503"/>
      <c r="B200" s="552"/>
      <c r="C200" s="503"/>
      <c r="D200" s="553">
        <f>SUM(D191:D199)</f>
        <v>158</v>
      </c>
      <c r="E200" s="554">
        <f>SUM(E191:E199)</f>
        <v>0.99999999999999989</v>
      </c>
      <c r="F200" s="555">
        <f>SUM(F191:F199)</f>
        <v>73</v>
      </c>
      <c r="G200" s="556">
        <f>SUM(G191:G199)</f>
        <v>79</v>
      </c>
      <c r="H200" s="555">
        <f>SUM(H191:H199)</f>
        <v>0</v>
      </c>
      <c r="I200" s="557"/>
      <c r="J200" s="537">
        <f>SUM(J191:J199)</f>
        <v>152</v>
      </c>
      <c r="K200" s="558"/>
      <c r="L200" s="558"/>
      <c r="M200" s="559"/>
      <c r="N200" s="560">
        <f>SUM(N191:N199)</f>
        <v>277109787</v>
      </c>
      <c r="O200" s="561">
        <f>SUM(O191:O199)</f>
        <v>200550280.84</v>
      </c>
      <c r="P200" s="542">
        <f>I213+C213</f>
        <v>277109787</v>
      </c>
      <c r="Q200" s="515">
        <f>E213</f>
        <v>0</v>
      </c>
      <c r="R200" s="543">
        <f>I226</f>
        <v>37676845.840000004</v>
      </c>
      <c r="S200" s="544">
        <f>E226</f>
        <v>0</v>
      </c>
      <c r="T200" s="544">
        <f t="shared" si="29"/>
        <v>0</v>
      </c>
      <c r="U200" s="544">
        <f t="shared" si="30"/>
        <v>162873435</v>
      </c>
      <c r="V200" s="544">
        <f t="shared" si="31"/>
        <v>152</v>
      </c>
      <c r="W200" s="544">
        <f t="shared" si="32"/>
        <v>0</v>
      </c>
      <c r="X200" s="544">
        <f t="shared" si="33"/>
        <v>152</v>
      </c>
    </row>
    <row r="201" spans="1:24" s="517" customFormat="1" ht="15" hidden="1" customHeight="1">
      <c r="A201" s="3"/>
      <c r="B201" s="562"/>
      <c r="C201" s="503"/>
      <c r="D201" s="503"/>
      <c r="E201" s="507">
        <f>F200+G200+H200</f>
        <v>152</v>
      </c>
      <c r="F201" s="507"/>
      <c r="G201" s="508"/>
      <c r="H201" s="507"/>
      <c r="I201" s="563"/>
      <c r="J201" s="564"/>
      <c r="K201" s="564"/>
      <c r="L201" s="564"/>
      <c r="M201" s="1" t="s">
        <v>404</v>
      </c>
      <c r="N201" s="565">
        <f>J169-N200</f>
        <v>2040142</v>
      </c>
      <c r="O201" s="566">
        <f>M169-O200</f>
        <v>2037245</v>
      </c>
      <c r="P201" s="1216">
        <f>P200+Q200</f>
        <v>277109787</v>
      </c>
      <c r="Q201" s="1216"/>
      <c r="R201" s="1217">
        <f>R200+S200</f>
        <v>37676845.840000004</v>
      </c>
      <c r="S201" s="1217"/>
    </row>
    <row r="202" spans="1:24" s="517" customFormat="1" ht="15" hidden="1" customHeight="1">
      <c r="A202" s="3"/>
      <c r="B202" s="562"/>
      <c r="C202" s="503"/>
      <c r="D202" s="503"/>
      <c r="E202" s="507"/>
      <c r="F202" s="507"/>
      <c r="G202" s="508"/>
      <c r="H202" s="507"/>
      <c r="I202" s="563"/>
      <c r="J202" s="564"/>
      <c r="K202" s="564"/>
      <c r="L202" s="564"/>
      <c r="M202" s="506"/>
      <c r="N202" s="567" t="s">
        <v>405</v>
      </c>
      <c r="O202" s="567" t="s">
        <v>406</v>
      </c>
      <c r="P202" s="568"/>
      <c r="Q202" s="569"/>
      <c r="R202" s="570"/>
      <c r="S202" s="570"/>
    </row>
    <row r="203" spans="1:24" s="517" customFormat="1" ht="15" hidden="1" customHeight="1">
      <c r="A203" s="3"/>
      <c r="B203" s="504" t="s">
        <v>407</v>
      </c>
      <c r="C203" s="571" t="s">
        <v>408</v>
      </c>
      <c r="D203" s="572"/>
      <c r="E203" s="573" t="s">
        <v>409</v>
      </c>
      <c r="F203" s="574" t="s">
        <v>410</v>
      </c>
      <c r="G203" s="459" t="s">
        <v>411</v>
      </c>
      <c r="H203" s="575" t="s">
        <v>412</v>
      </c>
      <c r="I203" s="576" t="s">
        <v>413</v>
      </c>
      <c r="J203" s="577"/>
      <c r="K203" s="577"/>
      <c r="L203" s="577"/>
      <c r="M203" s="506"/>
      <c r="N203" s="578"/>
      <c r="O203" s="578"/>
      <c r="P203" s="10"/>
      <c r="R203" s="579"/>
    </row>
    <row r="204" spans="1:24" s="517" customFormat="1" ht="15" hidden="1" customHeight="1">
      <c r="A204" s="3"/>
      <c r="B204" s="580" t="s">
        <v>41</v>
      </c>
      <c r="C204" s="581">
        <f>SUMIFS($J$10:$J$185,$C$10:$C$185,"MTI",$H$10:$H$185,"0,00%")</f>
        <v>82969641</v>
      </c>
      <c r="D204" s="581"/>
      <c r="E204" s="582">
        <f>SUMIFS($J$10:$J$168,$C$10:$C$168,"MTI",$H$10:$H$168,"100,00%")</f>
        <v>0</v>
      </c>
      <c r="F204" s="583">
        <f t="shared" ref="F204:F212" si="34">C204+E204</f>
        <v>82969641</v>
      </c>
      <c r="G204" s="584">
        <f t="shared" ref="G204:G212" si="35">N191</f>
        <v>251591859</v>
      </c>
      <c r="H204" s="585">
        <f t="shared" ref="H204:H212" si="36">G204-F204-I204</f>
        <v>0</v>
      </c>
      <c r="I204" s="576">
        <f t="shared" ref="I204:I212" si="37">G204-F204</f>
        <v>168622218</v>
      </c>
      <c r="J204" s="577"/>
      <c r="K204" s="577"/>
      <c r="L204" s="577"/>
      <c r="M204" s="586" t="s">
        <v>41</v>
      </c>
      <c r="N204" s="587">
        <f t="shared" ref="N204:N209" si="38">N191/$N$200</f>
        <v>0.90791401387782811</v>
      </c>
      <c r="O204" s="587">
        <f t="shared" ref="O204:O212" si="39">O191/$O$200</f>
        <v>0.89931055735538801</v>
      </c>
      <c r="P204" s="10"/>
      <c r="Q204" s="1218" t="s">
        <v>414</v>
      </c>
      <c r="R204" s="1218"/>
      <c r="S204" s="1218"/>
      <c r="T204" s="589" t="e">
        <f>T206+T212+T216+T221+T227+T232</f>
        <v>#REF!</v>
      </c>
    </row>
    <row r="205" spans="1:24" s="517" customFormat="1" ht="15" hidden="1" customHeight="1">
      <c r="A205" s="3"/>
      <c r="B205" s="539" t="s">
        <v>60</v>
      </c>
      <c r="C205" s="581">
        <f>SUMIFS($J$10:$J$168,$C$10:$C$168,"MS",$H$10:$H$168,"0,00%")</f>
        <v>9449096</v>
      </c>
      <c r="D205" s="581"/>
      <c r="E205" s="582">
        <f>SUMIFS($J$10:$J$168,$C$10:$C$168,"MS",$H$10:$H$168,"100,00%")</f>
        <v>0</v>
      </c>
      <c r="F205" s="583">
        <f t="shared" si="34"/>
        <v>9449096</v>
      </c>
      <c r="G205" s="584">
        <f t="shared" si="35"/>
        <v>9599320</v>
      </c>
      <c r="H205" s="585">
        <f t="shared" si="36"/>
        <v>0</v>
      </c>
      <c r="I205" s="576">
        <f t="shared" si="37"/>
        <v>150224</v>
      </c>
      <c r="J205" s="590"/>
      <c r="K205" s="590"/>
      <c r="L205" s="590"/>
      <c r="M205" s="591" t="s">
        <v>60</v>
      </c>
      <c r="N205" s="587">
        <f t="shared" si="38"/>
        <v>3.4640855178456761E-2</v>
      </c>
      <c r="O205" s="587">
        <f t="shared" si="39"/>
        <v>4.6652530032926777E-2</v>
      </c>
      <c r="P205" s="10"/>
      <c r="Q205" s="592" t="s">
        <v>415</v>
      </c>
      <c r="R205" s="589" t="s">
        <v>416</v>
      </c>
      <c r="S205" s="589" t="s">
        <v>417</v>
      </c>
      <c r="T205" s="588" t="s">
        <v>418</v>
      </c>
    </row>
    <row r="206" spans="1:24" s="517" customFormat="1" ht="15" hidden="1" customHeight="1">
      <c r="A206" s="3"/>
      <c r="B206" s="539" t="s">
        <v>287</v>
      </c>
      <c r="C206" s="581">
        <f>SUMIFS($J$10:$J$168,$C$10:$C$168,"MJ",$H$10:$H$168,"0,00%")</f>
        <v>1175463</v>
      </c>
      <c r="D206" s="581"/>
      <c r="E206" s="582">
        <f>SUMIFS($J$10:$J$168,$C$10:$C$168,"MJ",$H$10:$H$168,"100,00%")</f>
        <v>0</v>
      </c>
      <c r="F206" s="583">
        <f t="shared" si="34"/>
        <v>1175463</v>
      </c>
      <c r="G206" s="584">
        <f t="shared" si="35"/>
        <v>1175463</v>
      </c>
      <c r="H206" s="585">
        <f t="shared" si="36"/>
        <v>0</v>
      </c>
      <c r="I206" s="576">
        <f t="shared" si="37"/>
        <v>0</v>
      </c>
      <c r="J206" s="590"/>
      <c r="K206" s="590"/>
      <c r="L206" s="590"/>
      <c r="M206" s="591" t="s">
        <v>287</v>
      </c>
      <c r="N206" s="587">
        <f t="shared" si="38"/>
        <v>4.2418675021391435E-3</v>
      </c>
      <c r="O206" s="587">
        <f t="shared" si="39"/>
        <v>5.8140332445121099E-3</v>
      </c>
      <c r="P206" s="10"/>
      <c r="Q206" s="593" t="s">
        <v>419</v>
      </c>
      <c r="R206" s="594" t="e">
        <f>SUMIF(#REF!,#REF!,J$10:J$168)</f>
        <v>#REF!</v>
      </c>
      <c r="S206" s="595" t="e">
        <f>SUMIF(#REF!,#REF!,M$10:M$168)</f>
        <v>#REF!</v>
      </c>
      <c r="T206" s="589" t="e">
        <f>COUNTIF(#REF!,"S.C. Metrorex S.A.")</f>
        <v>#REF!</v>
      </c>
    </row>
    <row r="207" spans="1:24" s="517" customFormat="1" ht="15" hidden="1" customHeight="1">
      <c r="A207" s="3"/>
      <c r="B207" s="548" t="s">
        <v>107</v>
      </c>
      <c r="C207" s="581">
        <f>SUMIFS($J$10:$J$168,$C$10:$C$168,"MDLPA",$H$10:$H$168,"0,00%")</f>
        <v>2370853</v>
      </c>
      <c r="D207" s="581"/>
      <c r="E207" s="582">
        <f>SUMIFS($J$10:$J$168,$C$10:$C$168,"MDLPA",$H$10:$H$168,"100,00%")</f>
        <v>0</v>
      </c>
      <c r="F207" s="583">
        <f t="shared" si="34"/>
        <v>2370853</v>
      </c>
      <c r="G207" s="584">
        <f t="shared" si="35"/>
        <v>5026174</v>
      </c>
      <c r="H207" s="585">
        <f t="shared" si="36"/>
        <v>0</v>
      </c>
      <c r="I207" s="576">
        <f t="shared" si="37"/>
        <v>2655321</v>
      </c>
      <c r="J207" s="590"/>
      <c r="K207" s="590"/>
      <c r="L207" s="590"/>
      <c r="M207" s="591" t="s">
        <v>107</v>
      </c>
      <c r="N207" s="587">
        <f t="shared" si="38"/>
        <v>1.8137843684315633E-2</v>
      </c>
      <c r="O207" s="587">
        <f t="shared" si="39"/>
        <v>2.1427574082673123E-2</v>
      </c>
      <c r="P207" s="10"/>
      <c r="Q207" s="593" t="s">
        <v>420</v>
      </c>
      <c r="R207" s="594">
        <f>'[1]Anexa 3 iulie 2018'!$I$11</f>
        <v>15812492</v>
      </c>
      <c r="S207" s="595">
        <f>'[1]Anexa 3 iulie 2018'!$M$11</f>
        <v>10083369</v>
      </c>
      <c r="T207" s="589"/>
    </row>
    <row r="208" spans="1:24" s="517" customFormat="1" ht="15" hidden="1" customHeight="1">
      <c r="A208" s="3"/>
      <c r="B208" s="550" t="s">
        <v>21</v>
      </c>
      <c r="C208" s="581">
        <f>SUMIFS($J$10:$J$168,$C$10:$C$168,"MMAP",$H$10:$H$168,"0,00%")</f>
        <v>607270</v>
      </c>
      <c r="D208" s="581"/>
      <c r="E208" s="582">
        <f>SUMIFS($J$10:$J$168,$C$10:$C$168,"MMAP",$H$10:$H$168,"100,00%")</f>
        <v>0</v>
      </c>
      <c r="F208" s="583">
        <f t="shared" si="34"/>
        <v>607270</v>
      </c>
      <c r="G208" s="584">
        <f t="shared" si="35"/>
        <v>7198671</v>
      </c>
      <c r="H208" s="585">
        <f t="shared" si="36"/>
        <v>0</v>
      </c>
      <c r="I208" s="576">
        <f t="shared" si="37"/>
        <v>6591401</v>
      </c>
      <c r="J208" s="590"/>
      <c r="K208" s="590"/>
      <c r="L208" s="590"/>
      <c r="M208" s="596" t="s">
        <v>21</v>
      </c>
      <c r="N208" s="587">
        <f t="shared" si="38"/>
        <v>2.5977685876536726E-2</v>
      </c>
      <c r="O208" s="587">
        <f t="shared" si="39"/>
        <v>2.4159891373403672E-2</v>
      </c>
      <c r="P208" s="10"/>
      <c r="Q208" s="593" t="s">
        <v>421</v>
      </c>
      <c r="R208" s="594" t="e">
        <f>R206-R207</f>
        <v>#REF!</v>
      </c>
      <c r="S208" s="594" t="e">
        <f>S206-S207</f>
        <v>#REF!</v>
      </c>
      <c r="T208" s="589"/>
    </row>
    <row r="209" spans="1:23" s="517" customFormat="1" ht="15" hidden="1" customHeight="1">
      <c r="A209" s="3"/>
      <c r="B209" s="539" t="s">
        <v>401</v>
      </c>
      <c r="C209" s="581">
        <f>SUMIFS($J$10:$J$168,$C$10:$C$168,"ME",$H$10:$H$168,"0,00%")</f>
        <v>0</v>
      </c>
      <c r="D209" s="581"/>
      <c r="E209" s="582">
        <f>SUMIFS($J$24:$J$168,$C$24:$C$168,"ME",$H$24:$H$168,"100,00%")</f>
        <v>0</v>
      </c>
      <c r="F209" s="583">
        <f t="shared" si="34"/>
        <v>0</v>
      </c>
      <c r="G209" s="584">
        <f t="shared" si="35"/>
        <v>0</v>
      </c>
      <c r="H209" s="585">
        <f t="shared" si="36"/>
        <v>0</v>
      </c>
      <c r="I209" s="576">
        <f t="shared" si="37"/>
        <v>0</v>
      </c>
      <c r="J209" s="590"/>
      <c r="K209" s="590"/>
      <c r="L209" s="590"/>
      <c r="M209" s="591" t="s">
        <v>401</v>
      </c>
      <c r="N209" s="587">
        <f t="shared" si="38"/>
        <v>0</v>
      </c>
      <c r="O209" s="587">
        <f t="shared" si="39"/>
        <v>0</v>
      </c>
      <c r="P209" s="10"/>
      <c r="Q209" s="593"/>
      <c r="R209" s="589"/>
      <c r="S209" s="595"/>
      <c r="T209" s="589"/>
    </row>
    <row r="210" spans="1:23" s="517" customFormat="1" ht="15" hidden="1" customHeight="1">
      <c r="A210" s="3"/>
      <c r="B210" s="539" t="s">
        <v>57</v>
      </c>
      <c r="C210" s="581">
        <f>SUMIFS($J$10:$J$168,$C$10:$C$168,"MCID",$H$10:$H$168,"0,00%")</f>
        <v>0</v>
      </c>
      <c r="D210" s="581"/>
      <c r="E210" s="582">
        <f>SUMIFS($J$10:$J$168,$C$10:$C$168,"MCID",$H$10:$H$168,"100,00%")</f>
        <v>0</v>
      </c>
      <c r="F210" s="583">
        <f t="shared" si="34"/>
        <v>0</v>
      </c>
      <c r="G210" s="584">
        <f t="shared" si="35"/>
        <v>1739734</v>
      </c>
      <c r="H210" s="585">
        <f t="shared" si="36"/>
        <v>0</v>
      </c>
      <c r="I210" s="576">
        <f t="shared" si="37"/>
        <v>1739734</v>
      </c>
      <c r="J210" s="590"/>
      <c r="K210" s="590"/>
      <c r="L210" s="590"/>
      <c r="M210" s="591" t="s">
        <v>38</v>
      </c>
      <c r="N210" s="587">
        <f>N198/$N$200</f>
        <v>9.7560971384962308E-4</v>
      </c>
      <c r="O210" s="587">
        <f t="shared" si="39"/>
        <v>3.0461188956767358E-4</v>
      </c>
      <c r="P210" s="10"/>
      <c r="Q210" s="592" t="s">
        <v>422</v>
      </c>
      <c r="R210" s="595" t="s">
        <v>423</v>
      </c>
      <c r="S210" s="595" t="s">
        <v>424</v>
      </c>
      <c r="T210" s="589"/>
      <c r="U210" s="517" t="s">
        <v>425</v>
      </c>
      <c r="V210" s="517" t="s">
        <v>426</v>
      </c>
      <c r="W210" s="517" t="s">
        <v>427</v>
      </c>
    </row>
    <row r="211" spans="1:23" s="517" customFormat="1" ht="15" hidden="1" customHeight="1">
      <c r="A211" s="3"/>
      <c r="B211" s="597" t="s">
        <v>38</v>
      </c>
      <c r="C211" s="581">
        <f>SUMIFS($J$10:$J$168,$C$10:$C$168,"SPP",$H$10:$H$168,"0,00%")</f>
        <v>0</v>
      </c>
      <c r="D211" s="598"/>
      <c r="E211" s="582">
        <f>SUMIFS($J$10:$J$168,$C$10:$C$168,"SPP",$H$10:$H$168,"100,00%")</f>
        <v>0</v>
      </c>
      <c r="F211" s="583">
        <f t="shared" si="34"/>
        <v>0</v>
      </c>
      <c r="G211" s="584">
        <f t="shared" si="35"/>
        <v>270351</v>
      </c>
      <c r="H211" s="585">
        <f t="shared" si="36"/>
        <v>0</v>
      </c>
      <c r="I211" s="576">
        <f t="shared" si="37"/>
        <v>270351</v>
      </c>
      <c r="J211" s="590"/>
      <c r="K211" s="590"/>
      <c r="L211" s="590"/>
      <c r="M211" s="591" t="s">
        <v>57</v>
      </c>
      <c r="N211" s="587">
        <f>N197/$N$200</f>
        <v>6.2781398623066318E-3</v>
      </c>
      <c r="O211" s="587">
        <f t="shared" si="39"/>
        <v>2.0574890160797045E-4</v>
      </c>
      <c r="P211" s="10"/>
      <c r="Q211" s="592"/>
      <c r="R211" s="595"/>
      <c r="S211" s="595"/>
      <c r="T211" s="589"/>
    </row>
    <row r="212" spans="1:23" s="517" customFormat="1" ht="15" hidden="1" customHeight="1">
      <c r="A212" s="3"/>
      <c r="B212" s="599" t="s">
        <v>223</v>
      </c>
      <c r="C212" s="600">
        <f>SUMIFS($J$10:$J$168,$C$10:$C$168,"MApN",$H$10:$H$168,"0,00%")</f>
        <v>508215</v>
      </c>
      <c r="D212" s="600"/>
      <c r="E212" s="601">
        <f>SUMIFS($J$10:$J$168,$C$10:$C$168,"MApN",$H$10:$H$168,"100,00%")</f>
        <v>0</v>
      </c>
      <c r="F212" s="583">
        <f t="shared" si="34"/>
        <v>508215</v>
      </c>
      <c r="G212" s="584">
        <f t="shared" si="35"/>
        <v>508215</v>
      </c>
      <c r="H212" s="585">
        <f t="shared" si="36"/>
        <v>0</v>
      </c>
      <c r="I212" s="576">
        <f t="shared" si="37"/>
        <v>0</v>
      </c>
      <c r="J212" s="590"/>
      <c r="K212" s="590"/>
      <c r="L212" s="590"/>
      <c r="M212" s="602" t="s">
        <v>223</v>
      </c>
      <c r="N212" s="587">
        <f>N199/$N$200</f>
        <v>1.8339843045673447E-3</v>
      </c>
      <c r="O212" s="587">
        <f t="shared" si="39"/>
        <v>2.1250531199206273E-3</v>
      </c>
      <c r="P212" s="10"/>
      <c r="Q212" s="593" t="s">
        <v>428</v>
      </c>
      <c r="R212" s="595" t="e">
        <f>SUMIF(#REF!,#REF!,J$10:J$168)</f>
        <v>#REF!</v>
      </c>
      <c r="S212" s="595" t="e">
        <f>SUMIF(#REF!,#REF!,M$10:M$168)</f>
        <v>#REF!</v>
      </c>
      <c r="T212" s="589" t="e">
        <f>COUNTIF(#REF!,"CNAIR S.A.")</f>
        <v>#REF!</v>
      </c>
      <c r="U212" s="603" t="e">
        <f>SUMIF(#REF!,#REF!,G$10:G$168)</f>
        <v>#REF!</v>
      </c>
      <c r="V212" s="603" t="e">
        <f>SUMIF(#REF!,#REF!,H$10:H$168)</f>
        <v>#REF!</v>
      </c>
      <c r="W212" s="603" t="e">
        <f>SUMIF(#REF!,#REF!,I$10:I$168)</f>
        <v>#REF!</v>
      </c>
    </row>
    <row r="213" spans="1:23" s="517" customFormat="1" ht="15" hidden="1" customHeight="1">
      <c r="A213" s="3"/>
      <c r="B213" s="604"/>
      <c r="C213" s="600">
        <f>SUM(C204:C212)</f>
        <v>97080538</v>
      </c>
      <c r="D213" s="605"/>
      <c r="E213" s="606">
        <f>SUM(E204:E212)</f>
        <v>0</v>
      </c>
      <c r="F213" s="607">
        <f>SUM(F204:F212)</f>
        <v>97080538</v>
      </c>
      <c r="G213" s="608">
        <f>SUM(G204:G212)</f>
        <v>277109787</v>
      </c>
      <c r="H213" s="507"/>
      <c r="I213" s="609">
        <f>SUM(I204:I212)</f>
        <v>180029249</v>
      </c>
      <c r="J213" s="590"/>
      <c r="K213" s="590"/>
      <c r="L213" s="590"/>
      <c r="M213" s="1"/>
      <c r="N213" s="610">
        <f>SUM(N204:N212)</f>
        <v>0.99999999999999989</v>
      </c>
      <c r="O213" s="610">
        <f>SUM(O204:O212)</f>
        <v>1</v>
      </c>
      <c r="P213" s="10"/>
      <c r="Q213" s="593" t="s">
        <v>420</v>
      </c>
      <c r="R213" s="595">
        <f>'[2]Anexa nr 3'!$I$100</f>
        <v>108444423.36453</v>
      </c>
      <c r="S213" s="595">
        <f>'[2]Anexa nr 3'!$M$100</f>
        <v>65459951.74453</v>
      </c>
      <c r="T213" s="589"/>
      <c r="U213" s="603">
        <f>'[3]anexa 2 PUNCTAJ'!$F$192</f>
        <v>6980.5</v>
      </c>
      <c r="V213" s="603">
        <f>'[2]Anexa nr 3'!$F$100*100</f>
        <v>5702.58</v>
      </c>
      <c r="W213" s="603">
        <f>'[2]Anexa nr 3'!$G$100*100</f>
        <v>4994.5301788876395</v>
      </c>
    </row>
    <row r="214" spans="1:23" s="517" customFormat="1" ht="15" hidden="1" customHeight="1">
      <c r="A214" s="3"/>
      <c r="B214" s="562"/>
      <c r="C214" s="611"/>
      <c r="D214" s="503"/>
      <c r="E214" s="507">
        <f>I213</f>
        <v>180029249</v>
      </c>
      <c r="F214" s="606">
        <f>F213-E213-C213</f>
        <v>0</v>
      </c>
      <c r="G214" s="508"/>
      <c r="H214" s="507"/>
      <c r="I214" s="563"/>
      <c r="J214" s="590"/>
      <c r="K214" s="590"/>
      <c r="L214" s="590"/>
      <c r="M214" s="1"/>
      <c r="N214" s="610" t="s">
        <v>429</v>
      </c>
      <c r="O214" s="610" t="s">
        <v>429</v>
      </c>
      <c r="P214" s="10"/>
      <c r="Q214" s="593" t="s">
        <v>421</v>
      </c>
      <c r="R214" s="595" t="e">
        <f>R212-R213</f>
        <v>#REF!</v>
      </c>
      <c r="S214" s="595" t="e">
        <f>S212-S213</f>
        <v>#REF!</v>
      </c>
      <c r="T214" s="589"/>
      <c r="U214" s="603" t="e">
        <f>U212-U213</f>
        <v>#REF!</v>
      </c>
      <c r="V214" s="603" t="e">
        <f>V212-V213</f>
        <v>#REF!</v>
      </c>
      <c r="W214" s="603" t="e">
        <f>W212-W213</f>
        <v>#REF!</v>
      </c>
    </row>
    <row r="215" spans="1:23" s="517" customFormat="1" ht="15" hidden="1" customHeight="1">
      <c r="A215" s="3"/>
      <c r="B215" s="562"/>
      <c r="C215" s="3"/>
      <c r="D215" s="3"/>
      <c r="E215" s="563"/>
      <c r="F215" s="11"/>
      <c r="G215" s="5"/>
      <c r="H215" s="563"/>
      <c r="I215" s="507"/>
      <c r="J215" s="590"/>
      <c r="K215" s="590"/>
      <c r="L215" s="590"/>
      <c r="N215" s="612"/>
      <c r="P215" s="10"/>
      <c r="Q215" s="593"/>
      <c r="R215" s="595"/>
      <c r="S215" s="595"/>
      <c r="T215" s="589" t="s">
        <v>430</v>
      </c>
      <c r="U215" s="613"/>
    </row>
    <row r="216" spans="1:23" s="517" customFormat="1" ht="15" hidden="1" customHeight="1">
      <c r="A216" s="3"/>
      <c r="B216" s="614" t="s">
        <v>431</v>
      </c>
      <c r="C216" s="615">
        <v>0</v>
      </c>
      <c r="D216" s="615"/>
      <c r="E216" s="615">
        <v>100</v>
      </c>
      <c r="F216" s="616" t="s">
        <v>432</v>
      </c>
      <c r="G216" s="5" t="s">
        <v>411</v>
      </c>
      <c r="H216" s="563" t="s">
        <v>433</v>
      </c>
      <c r="I216" s="617" t="s">
        <v>413</v>
      </c>
      <c r="J216" s="1"/>
      <c r="K216" s="1"/>
      <c r="L216" s="1"/>
      <c r="M216" s="506"/>
      <c r="N216" s="506"/>
      <c r="O216" s="503"/>
      <c r="P216" s="10"/>
      <c r="Q216" s="592" t="s">
        <v>434</v>
      </c>
      <c r="R216" s="618" t="e">
        <f>R217+R222</f>
        <v>#REF!</v>
      </c>
      <c r="S216" s="618" t="e">
        <f>S217+S222</f>
        <v>#REF!</v>
      </c>
      <c r="T216" s="589" t="e">
        <f>COUNTIF(#REF!,"CN Administraţia Porturilor Maritime SA Constanţa")</f>
        <v>#REF!</v>
      </c>
    </row>
    <row r="217" spans="1:23" s="517" customFormat="1" ht="15" hidden="1" customHeight="1">
      <c r="A217" s="3"/>
      <c r="B217" s="619" t="s">
        <v>435</v>
      </c>
      <c r="C217" s="581">
        <f>SUMIFS($M$24:$M$185,$C$24:$C$185,"MTI",$H$24:$H$185,"0,00%")</f>
        <v>75245889</v>
      </c>
      <c r="D217" s="581"/>
      <c r="E217" s="620">
        <f>SUMIFS($M$24:$M$168,$C$24:$C$168,"MTIC",$H$24:$H$168,"100,00%")</f>
        <v>0</v>
      </c>
      <c r="F217" s="620">
        <f t="shared" ref="F217:F225" si="40">C217+E217</f>
        <v>75245889</v>
      </c>
      <c r="G217" s="608">
        <f t="shared" ref="G217:G225" si="41">O191</f>
        <v>180356984.84</v>
      </c>
      <c r="H217" s="585">
        <f t="shared" ref="H217:H225" si="42">G217-F217-I217</f>
        <v>0</v>
      </c>
      <c r="I217" s="576">
        <f t="shared" ref="I217:I225" si="43">G217-F217</f>
        <v>105111095.84</v>
      </c>
      <c r="J217" s="1"/>
      <c r="K217" s="1"/>
      <c r="L217" s="1"/>
      <c r="M217" s="506"/>
      <c r="N217" s="506"/>
      <c r="O217" s="503"/>
      <c r="P217" s="10"/>
      <c r="Q217" s="593" t="s">
        <v>428</v>
      </c>
      <c r="R217" s="595" t="e">
        <f>SUMIF(#REF!,#REF!,J$10:J$168)</f>
        <v>#REF!</v>
      </c>
      <c r="S217" s="621" t="e">
        <f>SUMIF(#REF!,#REF!,M$10:M$168)</f>
        <v>#REF!</v>
      </c>
      <c r="T217" s="589"/>
    </row>
    <row r="218" spans="1:23" s="517" customFormat="1" ht="15" hidden="1" customHeight="1">
      <c r="A218" s="3"/>
      <c r="B218" s="619" t="s">
        <v>60</v>
      </c>
      <c r="C218" s="581">
        <f>SUMIFS($M$24:$M$185,$C$24:$C$185,"MS",$H$24:$H$185,"0,00%")</f>
        <v>8743092</v>
      </c>
      <c r="D218" s="581"/>
      <c r="E218" s="620">
        <f>SUMIFS($M$24:$M$168,$C$24:$C$168,"MS",$H$24:$H$168,"100,00%")</f>
        <v>0</v>
      </c>
      <c r="F218" s="620">
        <f t="shared" si="40"/>
        <v>8743092</v>
      </c>
      <c r="G218" s="608">
        <f t="shared" si="41"/>
        <v>9356178</v>
      </c>
      <c r="H218" s="585">
        <f t="shared" si="42"/>
        <v>0</v>
      </c>
      <c r="I218" s="576">
        <f t="shared" si="43"/>
        <v>613086</v>
      </c>
      <c r="J218" s="1"/>
      <c r="K218" s="1"/>
      <c r="L218" s="1"/>
      <c r="M218" s="1"/>
      <c r="N218" s="506"/>
      <c r="O218" s="503"/>
      <c r="P218" s="10"/>
      <c r="Q218" s="593" t="s">
        <v>420</v>
      </c>
      <c r="R218" s="595"/>
      <c r="S218" s="621"/>
      <c r="T218" s="589"/>
    </row>
    <row r="219" spans="1:23" s="517" customFormat="1" ht="15" hidden="1" customHeight="1">
      <c r="A219" s="622"/>
      <c r="B219" s="619" t="s">
        <v>287</v>
      </c>
      <c r="C219" s="581">
        <f>SUMIFS($M$24:$M$185,$C$24:$C$185,"MJ",$H$24:$H$185,"0,00%")</f>
        <v>1166006</v>
      </c>
      <c r="D219" s="581"/>
      <c r="E219" s="620">
        <f>SUMIFS($M$24:$M$168,$C$24:$C$168,"MJ",$H$24:$H$168,"100,00%")</f>
        <v>0</v>
      </c>
      <c r="F219" s="620">
        <f t="shared" si="40"/>
        <v>1166006</v>
      </c>
      <c r="G219" s="608">
        <f t="shared" si="41"/>
        <v>1166006</v>
      </c>
      <c r="H219" s="585">
        <f t="shared" si="42"/>
        <v>0</v>
      </c>
      <c r="I219" s="576">
        <f t="shared" si="43"/>
        <v>0</v>
      </c>
      <c r="J219" s="1"/>
      <c r="K219" s="1"/>
      <c r="L219" s="1"/>
      <c r="M219" s="506"/>
      <c r="N219" s="506"/>
      <c r="O219" s="503"/>
      <c r="P219" s="10"/>
      <c r="Q219" s="593" t="s">
        <v>421</v>
      </c>
      <c r="R219" s="595" t="e">
        <f>R217-R218</f>
        <v>#REF!</v>
      </c>
      <c r="S219" s="595" t="e">
        <f>S217-S218</f>
        <v>#REF!</v>
      </c>
      <c r="T219" s="589"/>
    </row>
    <row r="220" spans="1:23" s="517" customFormat="1" ht="15" hidden="1" customHeight="1">
      <c r="A220" s="1"/>
      <c r="B220" s="619" t="s">
        <v>107</v>
      </c>
      <c r="C220" s="581">
        <f>SUMIFS($M$24:$M$185,$C$24:$C$185,"MDLPA",$H$24:$H$185,"0,00%")</f>
        <v>2277853</v>
      </c>
      <c r="D220" s="581"/>
      <c r="E220" s="620">
        <f>SUMIFS($M$24:$M$168,$C$24:$C$168,"MLPDA",$H$24:$H$168,"100,00%")</f>
        <v>0</v>
      </c>
      <c r="F220" s="620">
        <f t="shared" si="40"/>
        <v>2277853</v>
      </c>
      <c r="G220" s="608">
        <f t="shared" si="41"/>
        <v>4297306</v>
      </c>
      <c r="H220" s="585">
        <f t="shared" si="42"/>
        <v>0</v>
      </c>
      <c r="I220" s="576">
        <f t="shared" si="43"/>
        <v>2019453</v>
      </c>
      <c r="J220" s="1"/>
      <c r="K220" s="1"/>
      <c r="L220" s="1"/>
      <c r="M220" s="1"/>
      <c r="N220" s="1"/>
      <c r="O220" s="3"/>
      <c r="P220" s="10"/>
      <c r="Q220" s="623"/>
      <c r="R220" s="595" t="e">
        <f>R216+R235</f>
        <v>#REF!</v>
      </c>
      <c r="S220" s="595" t="e">
        <f>S216+S235</f>
        <v>#REF!</v>
      </c>
      <c r="T220" s="589"/>
    </row>
    <row r="221" spans="1:23" s="517" customFormat="1" ht="15" hidden="1" customHeight="1">
      <c r="A221" s="1"/>
      <c r="B221" s="624" t="s">
        <v>21</v>
      </c>
      <c r="C221" s="581">
        <f>SUMIFS($M$24:$M$185,$C$24:$C$185,"MMAP",$H$24:$H$185,"0,00%")</f>
        <v>194706</v>
      </c>
      <c r="D221" s="581"/>
      <c r="E221" s="620">
        <f>SUMIFS($M$24:$M$168,$C$24:$C$168,"MMAP",$H$24:$H$168,"100,00%")</f>
        <v>0</v>
      </c>
      <c r="F221" s="620">
        <f t="shared" si="40"/>
        <v>194706</v>
      </c>
      <c r="G221" s="608">
        <f t="shared" si="41"/>
        <v>4845273</v>
      </c>
      <c r="H221" s="585">
        <f t="shared" si="42"/>
        <v>0</v>
      </c>
      <c r="I221" s="576">
        <f t="shared" si="43"/>
        <v>4650567</v>
      </c>
      <c r="J221" s="506"/>
      <c r="K221" s="506"/>
      <c r="L221" s="506"/>
      <c r="M221" s="506"/>
      <c r="N221" s="506"/>
      <c r="O221" s="503"/>
      <c r="P221" s="10"/>
      <c r="Q221" s="625" t="s">
        <v>436</v>
      </c>
      <c r="R221" s="595"/>
      <c r="S221" s="621"/>
      <c r="T221" s="589" t="e">
        <f>COUNTIF(#REF!,"AFDJ RA Galati")</f>
        <v>#REF!</v>
      </c>
    </row>
    <row r="222" spans="1:23" s="517" customFormat="1" ht="15" hidden="1" customHeight="1">
      <c r="A222" s="1"/>
      <c r="B222" s="619" t="s">
        <v>401</v>
      </c>
      <c r="C222" s="581">
        <f>SUMIFS($M$24:$M$185,$C$24:$C$185,"ME",$H$24:$H$185,"0,00%")</f>
        <v>0</v>
      </c>
      <c r="D222" s="581"/>
      <c r="E222" s="620">
        <f>SUMIFS($M$24:$M$168,$C$24:$C$168,"MEEMA",$H$24:$H$168,"100,00%")</f>
        <v>0</v>
      </c>
      <c r="F222" s="620">
        <f t="shared" si="40"/>
        <v>0</v>
      </c>
      <c r="G222" s="608">
        <f t="shared" si="41"/>
        <v>0</v>
      </c>
      <c r="H222" s="585">
        <f t="shared" si="42"/>
        <v>0</v>
      </c>
      <c r="I222" s="576">
        <f t="shared" si="43"/>
        <v>0</v>
      </c>
      <c r="J222" s="1"/>
      <c r="K222" s="1"/>
      <c r="L222" s="1"/>
      <c r="M222" s="506"/>
      <c r="N222" s="506"/>
      <c r="O222" s="503"/>
      <c r="P222" s="10"/>
      <c r="Q222" s="593" t="s">
        <v>428</v>
      </c>
      <c r="R222" s="595" t="e">
        <f>SUMIF(#REF!,#REF!,J$10:J$168)</f>
        <v>#REF!</v>
      </c>
      <c r="S222" s="621" t="e">
        <f>SUMIF(#REF!,#REF!,M$10:M$168)</f>
        <v>#REF!</v>
      </c>
      <c r="T222" s="589"/>
    </row>
    <row r="223" spans="1:23" s="517" customFormat="1" ht="15" hidden="1" customHeight="1">
      <c r="A223" s="1"/>
      <c r="B223" s="619" t="s">
        <v>57</v>
      </c>
      <c r="C223" s="581">
        <f>SUMIFS($M$24:$M$185,$C$24:$C$185,"MCID",$H$24:$H$185,"0,00%")</f>
        <v>0</v>
      </c>
      <c r="D223" s="581"/>
      <c r="E223" s="620">
        <f>SUMIFS($M$24:$M$168,$C$24:$C$168,"MEC",$H$24:$H$168,"100,00%")</f>
        <v>0</v>
      </c>
      <c r="F223" s="620">
        <f t="shared" si="40"/>
        <v>0</v>
      </c>
      <c r="G223" s="608">
        <f t="shared" si="41"/>
        <v>61090</v>
      </c>
      <c r="H223" s="585">
        <f t="shared" si="42"/>
        <v>0</v>
      </c>
      <c r="I223" s="576">
        <f t="shared" si="43"/>
        <v>61090</v>
      </c>
      <c r="J223" s="1"/>
      <c r="K223" s="1"/>
      <c r="L223" s="1"/>
      <c r="M223" s="506"/>
      <c r="N223" s="506"/>
      <c r="O223" s="503"/>
      <c r="P223" s="10"/>
      <c r="Q223" s="593" t="s">
        <v>420</v>
      </c>
      <c r="R223" s="595"/>
      <c r="S223" s="621"/>
      <c r="T223" s="589"/>
    </row>
    <row r="224" spans="1:23" s="517" customFormat="1" ht="15" hidden="1" customHeight="1">
      <c r="A224" s="1"/>
      <c r="B224" s="619" t="s">
        <v>38</v>
      </c>
      <c r="C224" s="581">
        <f>SUMIFS($M$24:$M$185,$C$24:$C$185,"SPP",$H$24:$H$185,"0,00%")</f>
        <v>0</v>
      </c>
      <c r="D224" s="581"/>
      <c r="E224" s="620">
        <f>SUMIFS($M$24:$M$168,$C$24:$C$168,"MEC",$H$24:$H$168,"100,00%")</f>
        <v>0</v>
      </c>
      <c r="F224" s="620">
        <f t="shared" si="40"/>
        <v>0</v>
      </c>
      <c r="G224" s="608">
        <f t="shared" si="41"/>
        <v>41263</v>
      </c>
      <c r="H224" s="585">
        <f t="shared" si="42"/>
        <v>0</v>
      </c>
      <c r="I224" s="576">
        <f t="shared" si="43"/>
        <v>41263</v>
      </c>
      <c r="J224" s="1"/>
      <c r="K224" s="1"/>
      <c r="L224" s="1"/>
      <c r="M224" s="506"/>
      <c r="N224" s="506"/>
      <c r="O224" s="503"/>
      <c r="P224" s="10"/>
      <c r="Q224" s="593"/>
      <c r="R224" s="595"/>
      <c r="S224" s="621"/>
      <c r="T224" s="589"/>
    </row>
    <row r="225" spans="1:20" s="517" customFormat="1" ht="15" hidden="1" customHeight="1">
      <c r="A225" s="1"/>
      <c r="B225" s="619" t="s">
        <v>223</v>
      </c>
      <c r="C225" s="581">
        <f>SUMIFS($M$24:$M$185,$C$24:$C$185,"MTI",$H$24:$H$185,"0,00%")</f>
        <v>75245889</v>
      </c>
      <c r="D225" s="581"/>
      <c r="E225" s="620">
        <f>SUMIFS($M$24:$M$168,$C$24:$C$168,"MApN",$H$24:$H$168,"100,00%")</f>
        <v>0</v>
      </c>
      <c r="F225" s="620">
        <f t="shared" si="40"/>
        <v>75245889</v>
      </c>
      <c r="G225" s="608">
        <f t="shared" si="41"/>
        <v>426180</v>
      </c>
      <c r="H225" s="585">
        <f t="shared" si="42"/>
        <v>0</v>
      </c>
      <c r="I225" s="576">
        <f t="shared" si="43"/>
        <v>-74819709</v>
      </c>
      <c r="J225" s="506"/>
      <c r="K225" s="506"/>
      <c r="L225" s="506"/>
      <c r="M225" s="506"/>
      <c r="N225" s="506"/>
      <c r="O225" s="503"/>
      <c r="P225" s="10"/>
      <c r="Q225" s="593" t="s">
        <v>421</v>
      </c>
      <c r="R225" s="595" t="e">
        <f>R222-R223</f>
        <v>#REF!</v>
      </c>
      <c r="S225" s="595" t="e">
        <f>S222-S223</f>
        <v>#REF!</v>
      </c>
      <c r="T225" s="589"/>
    </row>
    <row r="226" spans="1:20" s="517" customFormat="1" ht="15" hidden="1" customHeight="1">
      <c r="A226" s="1"/>
      <c r="B226" s="626">
        <f>C226+E226</f>
        <v>162873435</v>
      </c>
      <c r="C226" s="581">
        <f>SUM(C217:C225)</f>
        <v>162873435</v>
      </c>
      <c r="D226" s="627"/>
      <c r="E226" s="607">
        <f>SUM(E217:E225)</f>
        <v>0</v>
      </c>
      <c r="F226" s="607">
        <f>SUM(F217:F225)</f>
        <v>162873435</v>
      </c>
      <c r="G226" s="608">
        <f>SUM(G217:G225)</f>
        <v>200550280.84</v>
      </c>
      <c r="H226" s="507"/>
      <c r="I226" s="628">
        <f>SUM(I217:I225)</f>
        <v>37676845.840000004</v>
      </c>
      <c r="J226" s="506"/>
      <c r="K226" s="506"/>
      <c r="L226" s="506"/>
      <c r="M226" s="506"/>
      <c r="N226" s="506"/>
      <c r="O226" s="503"/>
      <c r="P226" s="10"/>
      <c r="Q226" s="623" t="s">
        <v>437</v>
      </c>
      <c r="R226" s="618" t="e">
        <f>R217+R222</f>
        <v>#REF!</v>
      </c>
      <c r="S226" s="618" t="e">
        <f>S217+S222</f>
        <v>#REF!</v>
      </c>
      <c r="T226" s="589"/>
    </row>
    <row r="227" spans="1:20" s="517" customFormat="1" ht="15" hidden="1" customHeight="1">
      <c r="A227" s="506"/>
      <c r="B227" s="562"/>
      <c r="C227" s="611" t="s">
        <v>438</v>
      </c>
      <c r="D227" s="503"/>
      <c r="E227" s="564">
        <f>I226</f>
        <v>37676845.840000004</v>
      </c>
      <c r="F227" s="615"/>
      <c r="G227" s="5"/>
      <c r="H227" s="563"/>
      <c r="I227" s="563">
        <f>I226+E226</f>
        <v>37676845.840000004</v>
      </c>
      <c r="J227" s="506"/>
      <c r="K227" s="506"/>
      <c r="L227" s="506"/>
      <c r="M227" s="506"/>
      <c r="N227" s="506"/>
      <c r="O227" s="503"/>
      <c r="P227" s="10"/>
      <c r="Q227" s="625" t="s">
        <v>439</v>
      </c>
      <c r="R227" s="595"/>
      <c r="S227" s="621"/>
      <c r="T227" s="589" t="e">
        <f>COUNTIF(#REF!,"CNCF CFR-SA")</f>
        <v>#REF!</v>
      </c>
    </row>
    <row r="228" spans="1:20" s="517" customFormat="1" ht="15" hidden="1" customHeight="1">
      <c r="A228" s="1"/>
      <c r="B228" s="562"/>
      <c r="C228" s="3"/>
      <c r="D228" s="3"/>
      <c r="E228" s="1"/>
      <c r="F228" s="1"/>
      <c r="G228" s="5"/>
      <c r="H228" s="563"/>
      <c r="I228" s="563"/>
      <c r="J228" s="506"/>
      <c r="K228" s="506"/>
      <c r="L228" s="506"/>
      <c r="M228" s="506"/>
      <c r="N228" s="506"/>
      <c r="O228" s="503"/>
      <c r="P228" s="10"/>
      <c r="Q228" s="593" t="s">
        <v>428</v>
      </c>
      <c r="R228" s="595" t="e">
        <f>SUMIF(#REF!,#REF!,J$10:J$168)</f>
        <v>#REF!</v>
      </c>
      <c r="S228" s="621" t="e">
        <f>SUMIF(#REF!,#REF!,M$10:M$168)</f>
        <v>#REF!</v>
      </c>
      <c r="T228" s="589"/>
    </row>
    <row r="229" spans="1:20" s="517" customFormat="1" ht="15" hidden="1" customHeight="1">
      <c r="A229" s="1"/>
      <c r="B229" s="562"/>
      <c r="C229" s="3"/>
      <c r="D229" s="3"/>
      <c r="E229" s="1"/>
      <c r="F229" s="1"/>
      <c r="G229" s="5"/>
      <c r="H229" s="563"/>
      <c r="I229" s="563"/>
      <c r="J229" s="1"/>
      <c r="K229" s="1"/>
      <c r="L229" s="1"/>
      <c r="M229" s="1"/>
      <c r="N229" s="1"/>
      <c r="O229" s="3"/>
      <c r="P229" s="10"/>
      <c r="Q229" s="593" t="s">
        <v>420</v>
      </c>
      <c r="R229" s="595">
        <f>'[4]Anexa 3 - 05.09.2018'!$I$21</f>
        <v>37207406</v>
      </c>
      <c r="S229" s="621">
        <f>'[4]Anexa 3 - 05.09.2018'!$M$21</f>
        <v>22054299.829999998</v>
      </c>
      <c r="T229" s="589"/>
    </row>
    <row r="230" spans="1:20" s="517" customFormat="1" ht="15" hidden="1" customHeight="1">
      <c r="A230" s="1"/>
      <c r="B230" s="562"/>
      <c r="C230" s="629" t="s">
        <v>440</v>
      </c>
      <c r="D230" s="629"/>
      <c r="E230" s="615"/>
      <c r="F230" s="615"/>
      <c r="G230" s="5"/>
      <c r="H230" s="563"/>
      <c r="I230" s="563"/>
      <c r="J230" s="1"/>
      <c r="K230" s="1"/>
      <c r="L230" s="1"/>
      <c r="M230" s="1"/>
      <c r="N230" s="1"/>
      <c r="O230" s="3"/>
      <c r="P230" s="10"/>
      <c r="Q230" s="593" t="s">
        <v>421</v>
      </c>
      <c r="R230" s="595" t="e">
        <f>R228-R229</f>
        <v>#REF!</v>
      </c>
      <c r="S230" s="595" t="e">
        <f>S228-S229</f>
        <v>#REF!</v>
      </c>
      <c r="T230" s="589"/>
    </row>
    <row r="231" spans="1:20" s="517" customFormat="1" ht="15" hidden="1" customHeight="1">
      <c r="A231" s="1"/>
      <c r="B231" s="562"/>
      <c r="C231" s="630">
        <f>C226/F226</f>
        <v>1</v>
      </c>
      <c r="D231" s="631"/>
      <c r="E231" s="632">
        <f>E226/F226</f>
        <v>0</v>
      </c>
      <c r="F231" s="633">
        <f>C231+E231</f>
        <v>1</v>
      </c>
      <c r="G231" s="5"/>
      <c r="H231" s="563"/>
      <c r="I231" s="563"/>
      <c r="J231" s="1"/>
      <c r="K231" s="1"/>
      <c r="L231" s="1"/>
      <c r="M231" s="1"/>
      <c r="N231" s="1"/>
      <c r="O231" s="3"/>
      <c r="P231" s="10"/>
      <c r="Q231" s="623"/>
      <c r="R231" s="595"/>
      <c r="S231" s="621"/>
      <c r="T231" s="589"/>
    </row>
    <row r="232" spans="1:20" s="517" customFormat="1" ht="15" hidden="1" customHeight="1">
      <c r="A232" s="1"/>
      <c r="B232" s="562"/>
      <c r="C232" s="3"/>
      <c r="D232" s="3"/>
      <c r="E232" s="1"/>
      <c r="F232" s="1"/>
      <c r="G232" s="5"/>
      <c r="H232" s="563"/>
      <c r="I232" s="563"/>
      <c r="J232" s="1"/>
      <c r="K232" s="1"/>
      <c r="L232" s="1"/>
      <c r="M232" s="1"/>
      <c r="N232" s="1"/>
      <c r="O232" s="3"/>
      <c r="P232" s="634"/>
      <c r="Q232" s="625" t="s">
        <v>441</v>
      </c>
      <c r="R232" s="595"/>
      <c r="S232" s="621"/>
      <c r="T232" s="589" t="e">
        <f>COUNTIF(#REF!,"CN Administraţia Canalelor Navigabile SA Constanta")</f>
        <v>#REF!</v>
      </c>
    </row>
    <row r="233" spans="1:20" s="517" customFormat="1" ht="15" hidden="1" customHeight="1">
      <c r="A233" s="1"/>
      <c r="B233" s="562"/>
      <c r="C233" s="3"/>
      <c r="D233" s="3"/>
      <c r="E233" s="1"/>
      <c r="F233" s="1"/>
      <c r="G233" s="5"/>
      <c r="H233" s="563"/>
      <c r="I233" s="563"/>
      <c r="J233" s="1"/>
      <c r="K233" s="1"/>
      <c r="L233" s="1"/>
      <c r="M233" s="1"/>
      <c r="N233" s="1"/>
      <c r="O233" s="3"/>
      <c r="P233" s="634"/>
      <c r="Q233" s="593" t="s">
        <v>428</v>
      </c>
      <c r="R233" s="595" t="e">
        <f>SUMIF(#REF!,#REF!,J$10:J$168)</f>
        <v>#REF!</v>
      </c>
      <c r="S233" s="621" t="e">
        <f>SUMIF(#REF!,#REF!,M$10:M$168)</f>
        <v>#REF!</v>
      </c>
      <c r="T233" s="589"/>
    </row>
    <row r="234" spans="1:20" s="517" customFormat="1" ht="15" hidden="1" customHeight="1">
      <c r="A234" s="1"/>
      <c r="B234" s="562"/>
      <c r="C234" s="3"/>
      <c r="D234" s="3"/>
      <c r="E234" s="1"/>
      <c r="F234" s="1"/>
      <c r="G234" s="5"/>
      <c r="H234" s="563"/>
      <c r="I234" s="563"/>
      <c r="J234" s="1"/>
      <c r="K234" s="1"/>
      <c r="L234" s="1"/>
      <c r="M234" s="1"/>
      <c r="N234" s="1"/>
      <c r="O234" s="635"/>
      <c r="P234" s="634"/>
      <c r="Q234" s="593" t="s">
        <v>420</v>
      </c>
      <c r="R234" s="595">
        <f>'[5]Anexa nr 3'!$I$17</f>
        <v>4554710</v>
      </c>
      <c r="S234" s="621">
        <f>'[5]Anexa nr 3'!$M$17</f>
        <v>2865562</v>
      </c>
      <c r="T234" s="589"/>
    </row>
    <row r="235" spans="1:20" s="517" customFormat="1" ht="15" hidden="1" customHeight="1">
      <c r="A235" s="1"/>
      <c r="B235" s="562"/>
      <c r="C235" s="3"/>
      <c r="D235" s="3"/>
      <c r="E235" s="564">
        <f>E237-E236</f>
        <v>251591859</v>
      </c>
      <c r="F235" s="564">
        <f>F237-F236</f>
        <v>180356984.84</v>
      </c>
      <c r="G235" s="5"/>
      <c r="H235" s="563"/>
      <c r="I235" s="563"/>
      <c r="J235" s="1"/>
      <c r="K235" s="1"/>
      <c r="L235" s="1"/>
      <c r="M235" s="1"/>
      <c r="N235" s="1"/>
      <c r="O235" s="635"/>
      <c r="P235" s="634"/>
      <c r="Q235" s="593" t="s">
        <v>421</v>
      </c>
      <c r="R235" s="595" t="e">
        <f>R233-R234</f>
        <v>#REF!</v>
      </c>
      <c r="S235" s="595" t="e">
        <f>S233-S234</f>
        <v>#REF!</v>
      </c>
      <c r="T235" s="589"/>
    </row>
    <row r="236" spans="1:20" ht="15" hidden="1" customHeight="1">
      <c r="B236" s="562"/>
      <c r="E236" s="563"/>
      <c r="F236" s="563"/>
      <c r="H236" s="563"/>
      <c r="I236" s="563"/>
      <c r="J236" s="1"/>
      <c r="K236" s="1"/>
      <c r="L236" s="1"/>
      <c r="M236" s="1"/>
      <c r="O236" s="635"/>
      <c r="P236" s="634"/>
      <c r="Q236" s="592" t="s">
        <v>442</v>
      </c>
      <c r="R236" s="636" t="e">
        <f>R233+R228+R222+R217+R212+R206</f>
        <v>#REF!</v>
      </c>
      <c r="S236" s="636" t="e">
        <f>S233+S228+S222+S217+S212+S206</f>
        <v>#REF!</v>
      </c>
      <c r="T236" s="618"/>
    </row>
    <row r="237" spans="1:20" ht="15" hidden="1" customHeight="1">
      <c r="B237" s="562"/>
      <c r="E237" s="637">
        <f>N191</f>
        <v>251591859</v>
      </c>
      <c r="F237" s="637">
        <f>O191</f>
        <v>180356984.84</v>
      </c>
      <c r="H237" s="563"/>
      <c r="I237" s="563"/>
      <c r="J237" s="1"/>
      <c r="K237" s="1"/>
      <c r="L237" s="1"/>
      <c r="M237" s="1"/>
      <c r="O237" s="635"/>
      <c r="P237" s="634"/>
      <c r="Q237" s="517" t="s">
        <v>443</v>
      </c>
      <c r="R237" s="544">
        <f>N191</f>
        <v>251591859</v>
      </c>
      <c r="S237" s="544">
        <f>O191</f>
        <v>180356984.84</v>
      </c>
      <c r="T237" s="595"/>
    </row>
    <row r="238" spans="1:20" ht="15" hidden="1" customHeight="1">
      <c r="B238" s="562"/>
      <c r="F238" s="1"/>
      <c r="H238" s="563"/>
      <c r="I238" s="563"/>
      <c r="J238" s="1"/>
      <c r="K238" s="1"/>
      <c r="L238" s="1"/>
      <c r="M238" s="1"/>
      <c r="O238" s="635"/>
      <c r="P238" s="634"/>
      <c r="Q238" s="517"/>
      <c r="R238" s="544" t="e">
        <f>R236-R237</f>
        <v>#REF!</v>
      </c>
      <c r="S238" s="544" t="e">
        <f>S236-S237</f>
        <v>#REF!</v>
      </c>
      <c r="T238" s="517"/>
    </row>
    <row r="239" spans="1:20" ht="15" hidden="1" customHeight="1">
      <c r="B239" s="562"/>
      <c r="F239" s="1"/>
      <c r="H239" s="563"/>
      <c r="I239" s="563"/>
      <c r="J239" s="1"/>
      <c r="K239" s="1"/>
      <c r="L239" s="1"/>
      <c r="M239" s="1"/>
      <c r="O239" s="635"/>
      <c r="P239" s="634"/>
    </row>
    <row r="240" spans="1:20" ht="15" hidden="1" customHeight="1">
      <c r="B240" s="562"/>
      <c r="F240" s="1"/>
      <c r="H240" s="563"/>
      <c r="I240" s="563"/>
      <c r="J240" s="1"/>
      <c r="K240" s="1"/>
      <c r="L240" s="1"/>
      <c r="M240" s="1"/>
      <c r="O240" s="635"/>
      <c r="P240" s="634"/>
    </row>
    <row r="241" spans="2:20" ht="15" hidden="1" customHeight="1">
      <c r="B241" s="562"/>
      <c r="F241" s="1"/>
      <c r="H241" s="563"/>
      <c r="I241" s="563"/>
      <c r="J241" s="1"/>
      <c r="K241" s="1"/>
      <c r="L241" s="1"/>
      <c r="M241" s="1"/>
      <c r="O241" s="635"/>
      <c r="P241" s="634"/>
      <c r="T241" s="517"/>
    </row>
    <row r="242" spans="2:20" ht="15" hidden="1" customHeight="1">
      <c r="B242" s="562"/>
      <c r="F242" s="1"/>
      <c r="H242" s="563"/>
      <c r="I242" s="563"/>
      <c r="J242" s="1"/>
      <c r="K242" s="1"/>
      <c r="L242" s="1"/>
      <c r="M242" s="1"/>
      <c r="O242" s="635"/>
      <c r="P242" s="634"/>
    </row>
    <row r="243" spans="2:20" ht="15" hidden="1" customHeight="1">
      <c r="B243" s="562"/>
      <c r="F243" s="1"/>
      <c r="H243" s="563"/>
      <c r="I243" s="563"/>
      <c r="J243" s="1"/>
      <c r="K243" s="1"/>
      <c r="L243" s="1"/>
      <c r="M243" s="1"/>
      <c r="O243" s="635"/>
      <c r="P243" s="634"/>
    </row>
    <row r="244" spans="2:20" ht="15" hidden="1" customHeight="1">
      <c r="B244" s="562"/>
      <c r="F244" s="1"/>
      <c r="H244" s="563"/>
      <c r="I244" s="563"/>
      <c r="J244" s="1"/>
      <c r="K244" s="1"/>
      <c r="L244" s="1"/>
      <c r="M244" s="1"/>
      <c r="O244" s="635"/>
      <c r="P244" s="634"/>
    </row>
    <row r="245" spans="2:20" ht="15.75" hidden="1" customHeight="1">
      <c r="B245" s="562"/>
      <c r="F245" s="1"/>
      <c r="H245" s="563"/>
      <c r="I245" s="563"/>
      <c r="J245" s="1"/>
      <c r="K245" s="1"/>
      <c r="L245" s="1"/>
      <c r="M245" s="1"/>
      <c r="O245" s="635"/>
      <c r="P245" s="634"/>
    </row>
    <row r="246" spans="2:20" ht="15.75" hidden="1" customHeight="1">
      <c r="B246" s="562"/>
      <c r="F246" s="1"/>
      <c r="H246" s="563"/>
      <c r="I246" s="563"/>
      <c r="J246" s="1"/>
      <c r="K246" s="1"/>
      <c r="L246" s="1"/>
      <c r="M246" s="1"/>
      <c r="O246" s="635"/>
      <c r="P246" s="634"/>
    </row>
    <row r="247" spans="2:20" ht="15.75" hidden="1" customHeight="1">
      <c r="B247" s="562"/>
      <c r="F247" s="1"/>
      <c r="H247" s="563"/>
      <c r="I247" s="563"/>
      <c r="J247" s="1"/>
      <c r="K247" s="1"/>
      <c r="L247" s="1"/>
      <c r="M247" s="1"/>
      <c r="O247" s="635"/>
      <c r="P247" s="634"/>
    </row>
    <row r="248" spans="2:20" ht="15.75" hidden="1" customHeight="1">
      <c r="B248" s="562"/>
      <c r="F248" s="1"/>
      <c r="H248" s="563"/>
      <c r="I248" s="563"/>
      <c r="J248" s="1"/>
      <c r="K248" s="1"/>
      <c r="L248" s="1"/>
      <c r="M248" s="1"/>
      <c r="O248" s="635"/>
      <c r="P248" s="634"/>
    </row>
    <row r="249" spans="2:20" ht="15.75" hidden="1" customHeight="1">
      <c r="B249" s="562"/>
      <c r="F249" s="1"/>
      <c r="H249" s="563"/>
      <c r="I249" s="563"/>
      <c r="J249" s="1"/>
      <c r="K249" s="1"/>
      <c r="L249" s="1"/>
      <c r="M249" s="1"/>
      <c r="O249" s="635"/>
      <c r="P249" s="634"/>
    </row>
    <row r="250" spans="2:20" ht="15.75" hidden="1" customHeight="1">
      <c r="B250" s="562"/>
      <c r="F250" s="1"/>
      <c r="H250" s="563"/>
      <c r="I250" s="563"/>
      <c r="J250" s="1"/>
      <c r="K250" s="1"/>
      <c r="L250" s="1"/>
      <c r="M250" s="1"/>
      <c r="O250" s="635"/>
      <c r="P250" s="634"/>
    </row>
    <row r="251" spans="2:20" ht="15.75" hidden="1" customHeight="1">
      <c r="B251" s="562"/>
      <c r="F251" s="1"/>
      <c r="H251" s="563"/>
      <c r="I251" s="563"/>
      <c r="J251" s="1"/>
      <c r="K251" s="1"/>
      <c r="L251" s="1"/>
      <c r="M251" s="1"/>
      <c r="O251" s="635"/>
      <c r="P251" s="634"/>
    </row>
    <row r="252" spans="2:20" ht="15.75" hidden="1" customHeight="1">
      <c r="B252" s="562"/>
      <c r="F252" s="1"/>
      <c r="H252" s="563"/>
      <c r="I252" s="563"/>
      <c r="J252" s="1"/>
      <c r="K252" s="1"/>
      <c r="L252" s="1"/>
      <c r="M252" s="1"/>
      <c r="O252" s="635"/>
      <c r="P252" s="634"/>
    </row>
    <row r="253" spans="2:20" ht="15.75" hidden="1" customHeight="1">
      <c r="B253" s="562"/>
      <c r="F253" s="1"/>
      <c r="H253" s="563"/>
      <c r="I253" s="563"/>
      <c r="J253" s="1"/>
      <c r="K253" s="1"/>
      <c r="L253" s="1"/>
      <c r="M253" s="1"/>
      <c r="O253" s="635"/>
      <c r="P253" s="634"/>
    </row>
    <row r="254" spans="2:20" ht="15.75" hidden="1" customHeight="1">
      <c r="B254" s="562"/>
      <c r="F254" s="1"/>
      <c r="H254" s="563"/>
      <c r="I254" s="563"/>
      <c r="J254" s="1"/>
      <c r="K254" s="1"/>
      <c r="L254" s="1"/>
      <c r="M254" s="1"/>
      <c r="O254" s="635"/>
      <c r="P254" s="634"/>
    </row>
    <row r="255" spans="2:20" ht="15.75" hidden="1" customHeight="1">
      <c r="B255" s="562"/>
      <c r="F255" s="1"/>
      <c r="H255" s="563"/>
      <c r="I255" s="563"/>
      <c r="J255" s="1"/>
      <c r="K255" s="1"/>
      <c r="L255" s="1"/>
      <c r="M255" s="1"/>
      <c r="O255" s="635"/>
      <c r="P255" s="634"/>
    </row>
    <row r="256" spans="2:20" ht="15.75" hidden="1" customHeight="1">
      <c r="B256" s="562"/>
      <c r="F256" s="1"/>
      <c r="H256" s="563"/>
      <c r="I256" s="563"/>
      <c r="J256" s="1"/>
      <c r="K256" s="1"/>
      <c r="L256" s="1"/>
      <c r="M256" s="1"/>
      <c r="O256" s="635"/>
      <c r="P256" s="634"/>
    </row>
    <row r="257" spans="2:16" ht="15.75" hidden="1" customHeight="1">
      <c r="B257" s="562"/>
      <c r="F257" s="1"/>
      <c r="H257" s="563"/>
      <c r="I257" s="563"/>
      <c r="J257" s="1"/>
      <c r="K257" s="1"/>
      <c r="L257" s="1"/>
      <c r="M257" s="1"/>
      <c r="O257" s="635"/>
      <c r="P257" s="634"/>
    </row>
    <row r="258" spans="2:16" ht="15.75" hidden="1" customHeight="1">
      <c r="B258" s="562"/>
      <c r="F258" s="1"/>
      <c r="H258" s="563"/>
      <c r="I258" s="563"/>
      <c r="J258" s="1"/>
      <c r="K258" s="1"/>
      <c r="L258" s="1"/>
      <c r="M258" s="1"/>
      <c r="O258" s="635"/>
      <c r="P258" s="634"/>
    </row>
    <row r="259" spans="2:16" ht="15.75" hidden="1" customHeight="1">
      <c r="B259" s="562"/>
      <c r="F259" s="1"/>
      <c r="H259" s="563"/>
      <c r="I259" s="563"/>
      <c r="J259" s="1"/>
      <c r="K259" s="1"/>
      <c r="L259" s="1"/>
      <c r="M259" s="1"/>
      <c r="O259" s="635"/>
      <c r="P259" s="634"/>
    </row>
    <row r="260" spans="2:16" ht="15.75" hidden="1" customHeight="1">
      <c r="B260" s="562"/>
      <c r="F260" s="1"/>
      <c r="H260" s="563"/>
      <c r="I260" s="563"/>
      <c r="J260" s="1"/>
      <c r="K260" s="1"/>
      <c r="L260" s="1"/>
      <c r="M260" s="1"/>
      <c r="O260" s="635"/>
      <c r="P260" s="634"/>
    </row>
    <row r="261" spans="2:16" ht="15.75" hidden="1" customHeight="1">
      <c r="B261" s="562"/>
      <c r="F261" s="1"/>
      <c r="H261" s="563"/>
      <c r="I261" s="563"/>
      <c r="J261" s="1"/>
      <c r="K261" s="1"/>
      <c r="L261" s="1"/>
      <c r="M261" s="1"/>
      <c r="O261" s="635"/>
      <c r="P261" s="634"/>
    </row>
    <row r="262" spans="2:16" ht="15.75" hidden="1" customHeight="1">
      <c r="B262" s="562"/>
      <c r="F262" s="1"/>
      <c r="H262" s="563"/>
      <c r="I262" s="563"/>
      <c r="J262" s="1"/>
      <c r="K262" s="1"/>
      <c r="L262" s="1"/>
      <c r="M262" s="1"/>
      <c r="O262" s="635"/>
      <c r="P262" s="634"/>
    </row>
    <row r="263" spans="2:16" ht="15.75" hidden="1" customHeight="1">
      <c r="B263" s="562"/>
      <c r="F263" s="1"/>
      <c r="H263" s="563"/>
      <c r="I263" s="563"/>
      <c r="J263" s="1"/>
      <c r="K263" s="1"/>
      <c r="L263" s="1"/>
      <c r="M263" s="1"/>
      <c r="O263" s="635"/>
      <c r="P263" s="634"/>
    </row>
    <row r="264" spans="2:16" ht="15.75" hidden="1" customHeight="1">
      <c r="B264" s="562"/>
      <c r="F264" s="1"/>
      <c r="H264" s="563"/>
      <c r="I264" s="563"/>
      <c r="J264" s="1"/>
      <c r="K264" s="1"/>
      <c r="L264" s="1"/>
      <c r="M264" s="1"/>
      <c r="O264" s="635"/>
      <c r="P264" s="634"/>
    </row>
    <row r="265" spans="2:16" ht="15.75" hidden="1" customHeight="1">
      <c r="B265" s="562"/>
      <c r="F265" s="1"/>
      <c r="H265" s="563"/>
      <c r="I265" s="563"/>
      <c r="J265" s="1"/>
      <c r="K265" s="1"/>
      <c r="L265" s="1"/>
      <c r="M265" s="1"/>
      <c r="O265" s="635"/>
      <c r="P265" s="634"/>
    </row>
    <row r="266" spans="2:16" ht="15.75" hidden="1" customHeight="1">
      <c r="B266" s="562"/>
      <c r="F266" s="1"/>
      <c r="H266" s="563"/>
      <c r="I266" s="563"/>
      <c r="J266" s="1"/>
      <c r="K266" s="1"/>
      <c r="L266" s="1"/>
      <c r="M266" s="1"/>
      <c r="O266" s="635"/>
      <c r="P266" s="634"/>
    </row>
    <row r="267" spans="2:16" ht="15.75" hidden="1" customHeight="1">
      <c r="B267" s="562"/>
      <c r="F267" s="1"/>
      <c r="H267" s="563"/>
      <c r="I267" s="563"/>
      <c r="J267" s="1"/>
      <c r="K267" s="1"/>
      <c r="L267" s="1"/>
      <c r="M267" s="1"/>
      <c r="O267" s="635"/>
      <c r="P267" s="634"/>
    </row>
    <row r="268" spans="2:16" ht="15.75" hidden="1" customHeight="1">
      <c r="B268" s="562"/>
      <c r="F268" s="1"/>
      <c r="H268" s="563"/>
      <c r="I268" s="563"/>
      <c r="J268" s="1"/>
      <c r="K268" s="1"/>
      <c r="L268" s="1"/>
      <c r="M268" s="1"/>
      <c r="O268" s="635"/>
      <c r="P268" s="634"/>
    </row>
    <row r="269" spans="2:16" ht="15.75" hidden="1" customHeight="1">
      <c r="B269" s="562"/>
      <c r="F269" s="1"/>
      <c r="H269" s="563"/>
      <c r="I269" s="563"/>
      <c r="J269" s="1"/>
      <c r="K269" s="1"/>
      <c r="L269" s="1"/>
      <c r="M269" s="1"/>
      <c r="O269" s="635"/>
      <c r="P269" s="634"/>
    </row>
    <row r="270" spans="2:16" ht="15.75" hidden="1" customHeight="1">
      <c r="B270" s="562"/>
      <c r="F270" s="1"/>
      <c r="H270" s="563"/>
      <c r="I270" s="563"/>
      <c r="J270" s="1"/>
      <c r="K270" s="1"/>
      <c r="L270" s="1"/>
      <c r="M270" s="1"/>
      <c r="O270" s="635"/>
      <c r="P270" s="634"/>
    </row>
    <row r="271" spans="2:16" ht="15.75" hidden="1" customHeight="1">
      <c r="B271" s="562"/>
      <c r="F271" s="1"/>
      <c r="H271" s="563"/>
      <c r="I271" s="563"/>
      <c r="J271" s="1"/>
      <c r="K271" s="1"/>
      <c r="L271" s="1"/>
      <c r="M271" s="1"/>
      <c r="O271" s="635"/>
      <c r="P271" s="634"/>
    </row>
    <row r="272" spans="2:16" ht="15.75" hidden="1" customHeight="1">
      <c r="B272" s="562"/>
      <c r="F272" s="1"/>
      <c r="H272" s="563"/>
      <c r="I272" s="563"/>
      <c r="J272" s="1"/>
      <c r="K272" s="1"/>
      <c r="L272" s="1"/>
      <c r="M272" s="1"/>
      <c r="O272" s="635"/>
      <c r="P272" s="634"/>
    </row>
    <row r="273" spans="2:16" ht="15.75" hidden="1" customHeight="1">
      <c r="B273" s="562"/>
      <c r="F273" s="1"/>
      <c r="H273" s="563"/>
      <c r="I273" s="563"/>
      <c r="J273" s="1"/>
      <c r="K273" s="1"/>
      <c r="L273" s="1"/>
      <c r="M273" s="1"/>
      <c r="O273" s="635"/>
      <c r="P273" s="634"/>
    </row>
    <row r="274" spans="2:16" ht="15.75" hidden="1" customHeight="1">
      <c r="B274" s="562"/>
      <c r="F274" s="1"/>
      <c r="H274" s="563"/>
      <c r="I274" s="563"/>
      <c r="J274" s="1"/>
      <c r="K274" s="1"/>
      <c r="L274" s="1"/>
      <c r="M274" s="1"/>
      <c r="O274" s="635"/>
      <c r="P274" s="634"/>
    </row>
    <row r="275" spans="2:16" ht="15.75" hidden="1" customHeight="1">
      <c r="B275" s="562"/>
      <c r="F275" s="1"/>
      <c r="H275" s="563"/>
      <c r="I275" s="563"/>
      <c r="J275" s="1"/>
      <c r="K275" s="1"/>
      <c r="L275" s="1"/>
      <c r="M275" s="1"/>
      <c r="O275" s="635"/>
      <c r="P275" s="634"/>
    </row>
    <row r="276" spans="2:16" ht="15.75" hidden="1" customHeight="1">
      <c r="B276" s="562"/>
      <c r="F276" s="1"/>
      <c r="H276" s="563"/>
      <c r="I276" s="563"/>
      <c r="J276" s="1"/>
      <c r="K276" s="1"/>
      <c r="L276" s="1"/>
      <c r="M276" s="1"/>
      <c r="O276" s="635"/>
      <c r="P276" s="634"/>
    </row>
    <row r="277" spans="2:16" ht="15.75" hidden="1" customHeight="1">
      <c r="B277" s="562"/>
      <c r="F277" s="1"/>
      <c r="H277" s="563"/>
      <c r="I277" s="563"/>
      <c r="J277" s="1"/>
      <c r="K277" s="1"/>
      <c r="L277" s="1"/>
      <c r="M277" s="1"/>
      <c r="O277" s="635"/>
      <c r="P277" s="634"/>
    </row>
    <row r="278" spans="2:16" ht="15.75" hidden="1" customHeight="1">
      <c r="B278" s="562"/>
      <c r="F278" s="1"/>
      <c r="H278" s="563"/>
      <c r="I278" s="563"/>
      <c r="J278" s="1"/>
      <c r="K278" s="1"/>
      <c r="L278" s="1"/>
      <c r="M278" s="1"/>
      <c r="O278" s="635"/>
      <c r="P278" s="634"/>
    </row>
    <row r="279" spans="2:16" ht="15.75" hidden="1" customHeight="1">
      <c r="B279" s="562"/>
      <c r="F279" s="1"/>
      <c r="H279" s="563"/>
      <c r="I279" s="563"/>
      <c r="J279" s="1"/>
      <c r="K279" s="1"/>
      <c r="L279" s="1"/>
      <c r="M279" s="1"/>
      <c r="O279" s="635"/>
      <c r="P279" s="634"/>
    </row>
    <row r="280" spans="2:16" ht="15.75" hidden="1" customHeight="1">
      <c r="B280" s="562"/>
      <c r="F280" s="1"/>
      <c r="H280" s="563"/>
      <c r="I280" s="563"/>
      <c r="J280" s="1"/>
      <c r="K280" s="1"/>
      <c r="L280" s="1"/>
      <c r="M280" s="1"/>
      <c r="O280" s="635"/>
      <c r="P280" s="634"/>
    </row>
    <row r="281" spans="2:16" ht="15.75" hidden="1" customHeight="1">
      <c r="B281" s="562"/>
      <c r="F281" s="1"/>
      <c r="H281" s="563"/>
      <c r="I281" s="563"/>
      <c r="J281" s="1"/>
      <c r="K281" s="1"/>
      <c r="L281" s="1"/>
      <c r="M281" s="1"/>
      <c r="O281" s="635"/>
      <c r="P281" s="634"/>
    </row>
    <row r="282" spans="2:16" ht="15.75" hidden="1" customHeight="1">
      <c r="B282" s="562"/>
      <c r="F282" s="1"/>
      <c r="H282" s="563"/>
      <c r="I282" s="563"/>
      <c r="J282" s="1"/>
      <c r="K282" s="1"/>
      <c r="L282" s="1"/>
      <c r="M282" s="1"/>
      <c r="O282" s="635"/>
      <c r="P282" s="634"/>
    </row>
    <row r="283" spans="2:16" ht="15.75" hidden="1" customHeight="1">
      <c r="B283" s="562"/>
      <c r="F283" s="1"/>
      <c r="H283" s="563"/>
      <c r="I283" s="563"/>
      <c r="J283" s="1"/>
      <c r="K283" s="1"/>
      <c r="L283" s="1"/>
      <c r="M283" s="1"/>
      <c r="O283" s="635"/>
      <c r="P283" s="634"/>
    </row>
    <row r="284" spans="2:16" ht="15.75" hidden="1" customHeight="1">
      <c r="B284" s="562"/>
      <c r="F284" s="1"/>
      <c r="H284" s="563"/>
      <c r="I284" s="563"/>
      <c r="J284" s="1"/>
      <c r="K284" s="1"/>
      <c r="L284" s="1"/>
      <c r="M284" s="1"/>
      <c r="O284" s="635"/>
      <c r="P284" s="634"/>
    </row>
    <row r="285" spans="2:16" ht="15.75" hidden="1" customHeight="1">
      <c r="B285" s="562"/>
      <c r="F285" s="1"/>
      <c r="H285" s="563"/>
      <c r="I285" s="563"/>
      <c r="J285" s="1"/>
      <c r="K285" s="1"/>
      <c r="L285" s="1"/>
      <c r="M285" s="1"/>
      <c r="O285" s="635"/>
      <c r="P285" s="634"/>
    </row>
    <row r="286" spans="2:16" ht="15.75" hidden="1" customHeight="1">
      <c r="B286" s="562"/>
      <c r="F286" s="1"/>
      <c r="H286" s="563"/>
      <c r="I286" s="563"/>
      <c r="J286" s="1"/>
      <c r="K286" s="1"/>
      <c r="L286" s="1"/>
      <c r="M286" s="1"/>
      <c r="O286" s="635"/>
      <c r="P286" s="634"/>
    </row>
    <row r="287" spans="2:16" ht="15.75" hidden="1" customHeight="1">
      <c r="B287" s="562"/>
      <c r="F287" s="1"/>
      <c r="H287" s="563"/>
      <c r="I287" s="563"/>
      <c r="J287" s="1"/>
      <c r="K287" s="1"/>
      <c r="L287" s="1"/>
      <c r="M287" s="1"/>
      <c r="O287" s="635"/>
      <c r="P287" s="634"/>
    </row>
    <row r="288" spans="2:16" ht="15.75" hidden="1" customHeight="1">
      <c r="B288" s="562"/>
      <c r="F288" s="1"/>
      <c r="H288" s="563"/>
      <c r="I288" s="563"/>
      <c r="J288" s="1"/>
      <c r="K288" s="1"/>
      <c r="L288" s="1"/>
      <c r="M288" s="1"/>
      <c r="O288" s="635"/>
      <c r="P288" s="634"/>
    </row>
    <row r="289" spans="1:16" ht="15.75" hidden="1" customHeight="1">
      <c r="B289" s="562"/>
      <c r="F289" s="1"/>
      <c r="H289" s="563"/>
      <c r="I289" s="563"/>
      <c r="J289" s="1"/>
      <c r="K289" s="1"/>
      <c r="L289" s="1"/>
      <c r="M289" s="1"/>
      <c r="O289" s="635"/>
      <c r="P289" s="634"/>
    </row>
    <row r="290" spans="1:16" ht="15.75" hidden="1" customHeight="1">
      <c r="B290" s="562"/>
      <c r="F290" s="1"/>
      <c r="H290" s="563"/>
      <c r="I290" s="563"/>
      <c r="J290" s="1"/>
      <c r="K290" s="1"/>
      <c r="L290" s="1"/>
      <c r="M290" s="1"/>
      <c r="O290" s="635"/>
      <c r="P290" s="634"/>
    </row>
    <row r="291" spans="1:16" ht="15.75" hidden="1" customHeight="1">
      <c r="B291" s="562"/>
      <c r="F291" s="1"/>
      <c r="H291" s="563"/>
      <c r="I291" s="563"/>
      <c r="J291" s="1"/>
      <c r="K291" s="1"/>
      <c r="L291" s="1"/>
      <c r="M291" s="1"/>
      <c r="O291" s="635"/>
      <c r="P291" s="634"/>
    </row>
    <row r="292" spans="1:16" ht="15.75" hidden="1" customHeight="1">
      <c r="B292" s="562"/>
      <c r="F292" s="1"/>
      <c r="H292" s="563"/>
      <c r="I292" s="563"/>
      <c r="J292" s="1"/>
      <c r="K292" s="1"/>
      <c r="L292" s="1"/>
      <c r="M292" s="1"/>
      <c r="O292" s="635"/>
      <c r="P292" s="634"/>
    </row>
    <row r="293" spans="1:16" ht="15.75" hidden="1" customHeight="1">
      <c r="B293" s="562"/>
      <c r="F293" s="1"/>
      <c r="H293" s="563"/>
      <c r="I293" s="563"/>
      <c r="J293" s="1"/>
      <c r="K293" s="1"/>
      <c r="L293" s="1"/>
      <c r="M293" s="1"/>
      <c r="O293" s="635"/>
      <c r="P293" s="634"/>
    </row>
    <row r="294" spans="1:16" ht="15.75" hidden="1" customHeight="1">
      <c r="B294" s="562"/>
      <c r="F294" s="1"/>
      <c r="H294" s="563"/>
      <c r="I294" s="563"/>
      <c r="J294" s="1"/>
      <c r="K294" s="1"/>
      <c r="L294" s="1"/>
      <c r="M294" s="1"/>
      <c r="O294" s="635"/>
      <c r="P294" s="634"/>
    </row>
    <row r="295" spans="1:16" ht="15.75" hidden="1" customHeight="1">
      <c r="B295" s="562"/>
      <c r="F295" s="1"/>
      <c r="H295" s="563"/>
      <c r="I295" s="563"/>
      <c r="J295" s="1"/>
      <c r="K295" s="1"/>
      <c r="L295" s="1"/>
      <c r="M295" s="1"/>
      <c r="O295" s="635"/>
      <c r="P295" s="634"/>
    </row>
    <row r="296" spans="1:16" ht="15.75" hidden="1" customHeight="1">
      <c r="B296" s="562"/>
      <c r="F296" s="1"/>
      <c r="H296" s="563"/>
      <c r="I296" s="563"/>
      <c r="J296" s="1"/>
      <c r="K296" s="1"/>
      <c r="L296" s="1"/>
      <c r="M296" s="1"/>
      <c r="O296" s="635"/>
      <c r="P296" s="634"/>
    </row>
    <row r="297" spans="1:16" ht="15.75" hidden="1" customHeight="1">
      <c r="B297" s="562"/>
      <c r="F297" s="1"/>
      <c r="H297" s="563"/>
      <c r="I297" s="563"/>
      <c r="J297" s="1"/>
      <c r="K297" s="1"/>
      <c r="L297" s="1"/>
      <c r="M297" s="1"/>
      <c r="O297" s="635"/>
      <c r="P297" s="634"/>
    </row>
    <row r="298" spans="1:16" ht="15.75" hidden="1" customHeight="1">
      <c r="B298" s="562"/>
      <c r="F298" s="1"/>
      <c r="H298" s="563"/>
      <c r="I298" s="563"/>
      <c r="J298" s="1"/>
      <c r="K298" s="1"/>
      <c r="L298" s="1"/>
      <c r="M298" s="1"/>
      <c r="O298" s="635"/>
      <c r="P298" s="634"/>
    </row>
    <row r="299" spans="1:16" ht="15.75" hidden="1" customHeight="1">
      <c r="B299" s="562"/>
      <c r="F299" s="1"/>
      <c r="H299" s="563"/>
      <c r="I299" s="563"/>
      <c r="J299" s="1"/>
      <c r="K299" s="1"/>
      <c r="L299" s="1"/>
      <c r="M299" s="1"/>
      <c r="O299" s="635"/>
      <c r="P299" s="634"/>
    </row>
    <row r="300" spans="1:16" ht="15.75" hidden="1" customHeight="1">
      <c r="B300" s="562"/>
      <c r="F300" s="1"/>
      <c r="H300" s="563"/>
      <c r="I300" s="563"/>
      <c r="J300" s="1"/>
      <c r="K300" s="1"/>
      <c r="L300" s="1"/>
      <c r="M300" s="1"/>
      <c r="O300" s="635"/>
      <c r="P300" s="634"/>
    </row>
    <row r="301" spans="1:16" ht="210.75" hidden="1" customHeight="1">
      <c r="B301" s="562"/>
      <c r="F301" s="1"/>
      <c r="H301" s="563"/>
      <c r="I301" s="563"/>
      <c r="J301" s="1"/>
      <c r="K301" s="1"/>
      <c r="L301" s="1"/>
      <c r="M301" s="1"/>
      <c r="O301" s="635"/>
      <c r="P301" s="634"/>
    </row>
    <row r="302" spans="1:16" ht="210.75" hidden="1" customHeight="1">
      <c r="B302" s="562"/>
      <c r="F302" s="1"/>
      <c r="H302" s="563"/>
      <c r="I302" s="563"/>
      <c r="J302" s="1"/>
      <c r="K302" s="1"/>
      <c r="L302" s="1"/>
      <c r="M302" s="1"/>
      <c r="O302" s="635"/>
    </row>
    <row r="303" spans="1:16" ht="34.5" customHeight="1">
      <c r="A303" s="638">
        <v>3</v>
      </c>
      <c r="F303" s="1"/>
      <c r="H303" s="563"/>
      <c r="I303" s="563"/>
      <c r="J303" s="1"/>
      <c r="K303" s="1"/>
      <c r="L303" s="1"/>
      <c r="M303" s="1"/>
      <c r="O303" s="635"/>
    </row>
    <row r="304" spans="1:16" ht="47.25" customHeight="1">
      <c r="A304" s="638">
        <v>3</v>
      </c>
      <c r="F304" s="1"/>
      <c r="H304" s="563"/>
      <c r="I304" s="563"/>
      <c r="J304" s="1"/>
      <c r="K304" s="1"/>
      <c r="L304" s="1"/>
      <c r="M304" s="1"/>
      <c r="O304" s="635"/>
    </row>
    <row r="305" spans="1:24" ht="42.75" customHeight="1">
      <c r="A305" s="638">
        <v>3</v>
      </c>
      <c r="F305" s="1"/>
      <c r="H305" s="563"/>
      <c r="I305" s="563"/>
      <c r="J305" s="1"/>
      <c r="K305" s="1"/>
      <c r="L305" s="1"/>
      <c r="M305" s="1"/>
      <c r="O305" s="635"/>
    </row>
    <row r="306" spans="1:24" s="10" customFormat="1" ht="67.5" customHeight="1">
      <c r="A306" s="638">
        <v>3</v>
      </c>
      <c r="B306" s="2"/>
      <c r="C306" s="3"/>
      <c r="D306" s="3"/>
      <c r="E306" s="1"/>
      <c r="F306" s="1"/>
      <c r="G306" s="5"/>
      <c r="H306" s="563"/>
      <c r="I306" s="563"/>
      <c r="J306" s="1"/>
      <c r="K306" s="1"/>
      <c r="L306" s="1"/>
      <c r="M306" s="1"/>
      <c r="N306" s="1"/>
      <c r="O306" s="635"/>
      <c r="Q306" s="11"/>
      <c r="R306" s="11"/>
      <c r="S306" s="11"/>
      <c r="T306" s="11"/>
      <c r="U306" s="11"/>
      <c r="V306" s="11"/>
      <c r="W306" s="11"/>
      <c r="X306" s="11"/>
    </row>
    <row r="307" spans="1:24" s="10" customFormat="1" ht="60" customHeight="1">
      <c r="A307" s="1"/>
      <c r="B307" s="2"/>
      <c r="C307" s="3"/>
      <c r="D307" s="3"/>
      <c r="E307" s="1"/>
      <c r="F307" s="4"/>
      <c r="G307" s="5"/>
      <c r="H307" s="6"/>
      <c r="I307" s="6"/>
      <c r="J307" s="1"/>
      <c r="K307" s="1"/>
      <c r="L307" s="1"/>
      <c r="M307" s="1"/>
      <c r="N307" s="1"/>
      <c r="O307" s="635"/>
      <c r="Q307" s="11"/>
      <c r="R307" s="11"/>
      <c r="S307" s="11"/>
      <c r="T307" s="11"/>
      <c r="U307" s="11"/>
      <c r="V307" s="11"/>
      <c r="W307" s="11"/>
      <c r="X307" s="11"/>
    </row>
    <row r="308" spans="1:24" s="10" customFormat="1" ht="30" customHeight="1">
      <c r="A308" s="1"/>
      <c r="B308" s="2"/>
      <c r="C308" s="3"/>
      <c r="D308" s="3"/>
      <c r="E308" s="1"/>
      <c r="F308" s="4"/>
      <c r="G308" s="5"/>
      <c r="H308" s="6"/>
      <c r="I308" s="6"/>
      <c r="J308" s="1"/>
      <c r="K308" s="1"/>
      <c r="L308" s="1"/>
      <c r="M308" s="1"/>
      <c r="N308" s="1"/>
      <c r="O308" s="635"/>
      <c r="Q308" s="11"/>
      <c r="R308" s="11"/>
      <c r="S308" s="11"/>
      <c r="T308" s="11"/>
      <c r="U308" s="11"/>
      <c r="V308" s="11"/>
      <c r="W308" s="11"/>
      <c r="X308" s="11"/>
    </row>
    <row r="309" spans="1:24" s="10" customFormat="1" ht="78" customHeight="1">
      <c r="A309" s="1"/>
      <c r="B309" s="2"/>
      <c r="C309" s="3"/>
      <c r="D309" s="3"/>
      <c r="E309" s="1"/>
      <c r="F309" s="4"/>
      <c r="G309" s="5"/>
      <c r="H309" s="6"/>
      <c r="I309" s="6"/>
      <c r="J309" s="1"/>
      <c r="K309" s="1"/>
      <c r="L309" s="1"/>
      <c r="M309" s="8"/>
      <c r="N309" s="1"/>
      <c r="O309" s="9"/>
      <c r="Q309" s="11"/>
      <c r="R309" s="11"/>
      <c r="S309" s="11"/>
      <c r="T309" s="11"/>
      <c r="U309" s="11"/>
      <c r="V309" s="11"/>
      <c r="W309" s="11"/>
      <c r="X309" s="11"/>
    </row>
    <row r="310" spans="1:24" s="10" customFormat="1" ht="115.5" customHeight="1">
      <c r="A310" s="1"/>
      <c r="B310" s="2"/>
      <c r="C310" s="3"/>
      <c r="D310" s="3"/>
      <c r="E310" s="1"/>
      <c r="F310" s="4"/>
      <c r="G310" s="5"/>
      <c r="H310" s="6"/>
      <c r="I310" s="6"/>
      <c r="J310" s="7"/>
      <c r="K310" s="7"/>
      <c r="L310" s="7"/>
      <c r="M310" s="8"/>
      <c r="N310" s="1"/>
      <c r="O310" s="9"/>
      <c r="Q310" s="11"/>
      <c r="R310" s="11"/>
      <c r="S310" s="11"/>
      <c r="T310" s="11"/>
      <c r="U310" s="11"/>
      <c r="V310" s="11"/>
      <c r="W310" s="11"/>
      <c r="X310" s="11"/>
    </row>
    <row r="442" spans="2:24" s="1" customFormat="1">
      <c r="B442" s="2"/>
      <c r="C442" s="3"/>
      <c r="D442" s="3"/>
      <c r="F442" s="4"/>
      <c r="G442" s="5"/>
      <c r="H442" s="6"/>
      <c r="I442" s="6"/>
      <c r="J442" s="7"/>
      <c r="K442" s="7"/>
      <c r="L442" s="7"/>
      <c r="M442" s="8">
        <f>SUM(M10:M168)</f>
        <v>202587525.84</v>
      </c>
      <c r="O442" s="9"/>
      <c r="P442" s="10"/>
      <c r="Q442" s="11"/>
      <c r="R442" s="11"/>
      <c r="S442" s="11"/>
      <c r="T442" s="11"/>
      <c r="U442" s="11"/>
      <c r="V442" s="11"/>
      <c r="W442" s="11"/>
      <c r="X442" s="11"/>
    </row>
    <row r="443" spans="2:24" s="1" customFormat="1">
      <c r="B443" s="2"/>
      <c r="C443" s="3"/>
      <c r="D443" s="3"/>
      <c r="F443" s="4"/>
      <c r="G443" s="5"/>
      <c r="H443" s="6"/>
      <c r="I443" s="6"/>
      <c r="J443" s="7">
        <f>SUM(J10:J168)</f>
        <v>279149929</v>
      </c>
      <c r="K443" s="7"/>
      <c r="L443" s="7"/>
      <c r="M443" s="8">
        <f>M169-M442</f>
        <v>0</v>
      </c>
      <c r="O443" s="9"/>
      <c r="P443" s="10"/>
      <c r="Q443" s="11"/>
      <c r="R443" s="11"/>
      <c r="S443" s="11"/>
      <c r="T443" s="11"/>
      <c r="U443" s="11"/>
      <c r="V443" s="11"/>
      <c r="W443" s="11"/>
      <c r="X443" s="11"/>
    </row>
    <row r="444" spans="2:24" s="1" customFormat="1">
      <c r="B444" s="2"/>
      <c r="C444" s="3"/>
      <c r="D444" s="3"/>
      <c r="F444" s="4"/>
      <c r="G444" s="5"/>
      <c r="H444" s="6"/>
      <c r="I444" s="6"/>
      <c r="J444" s="7">
        <f>J169-J443</f>
        <v>0</v>
      </c>
      <c r="K444" s="7"/>
      <c r="L444" s="7"/>
      <c r="M444" s="8"/>
      <c r="O444" s="9"/>
      <c r="P444" s="10"/>
      <c r="Q444" s="11"/>
      <c r="R444" s="11"/>
      <c r="S444" s="11"/>
      <c r="T444" s="11"/>
      <c r="U444" s="11"/>
      <c r="V444" s="11"/>
      <c r="W444" s="11"/>
      <c r="X444" s="11"/>
    </row>
    <row r="449" spans="2:24" s="1" customFormat="1" ht="12.75" customHeight="1">
      <c r="B449" s="2"/>
      <c r="C449" s="3"/>
      <c r="D449" s="3"/>
      <c r="F449" s="4"/>
      <c r="G449" s="5"/>
      <c r="H449" s="6"/>
      <c r="I449" s="6"/>
      <c r="J449" s="7"/>
      <c r="K449" s="7"/>
      <c r="L449" s="7"/>
      <c r="M449" s="8"/>
      <c r="O449" s="9"/>
      <c r="P449" s="10"/>
      <c r="Q449" s="11"/>
      <c r="R449" s="11"/>
      <c r="S449" s="11"/>
      <c r="T449" s="11"/>
      <c r="U449" s="11"/>
      <c r="V449" s="11"/>
      <c r="W449" s="11"/>
      <c r="X449" s="11"/>
    </row>
  </sheetData>
  <autoFilter ref="A7:P171"/>
  <mergeCells count="29">
    <mergeCell ref="A3:P3"/>
    <mergeCell ref="A4:P4"/>
    <mergeCell ref="A7:A8"/>
    <mergeCell ref="B7:B8"/>
    <mergeCell ref="C7:C8"/>
    <mergeCell ref="D7:D8"/>
    <mergeCell ref="E7:E8"/>
    <mergeCell ref="F7:F8"/>
    <mergeCell ref="G7:G8"/>
    <mergeCell ref="H7:H8"/>
    <mergeCell ref="I7:I8"/>
    <mergeCell ref="J7:J8"/>
    <mergeCell ref="K7:K8"/>
    <mergeCell ref="L7:L8"/>
    <mergeCell ref="M7:M8"/>
    <mergeCell ref="N7:N8"/>
    <mergeCell ref="O7:P7"/>
    <mergeCell ref="A169:B169"/>
    <mergeCell ref="A171:E171"/>
    <mergeCell ref="A175:J175"/>
    <mergeCell ref="A176:J176"/>
    <mergeCell ref="P201:Q201"/>
    <mergeCell ref="R201:S201"/>
    <mergeCell ref="Q204:S204"/>
    <mergeCell ref="A177:J177"/>
    <mergeCell ref="T180:W180"/>
    <mergeCell ref="B182:S182"/>
    <mergeCell ref="T184:W184"/>
    <mergeCell ref="A185:B185"/>
  </mergeCells>
  <printOptions horizontalCentered="1"/>
  <pageMargins left="0.23611111111111099" right="0.23611111111111099" top="0.74791666666666701" bottom="0.74791666666666701" header="0.511811023622047" footer="0.31527777777777799"/>
  <pageSetup paperSize="8" fitToHeight="0" orientation="landscape" useFirstPageNumber="1" horizontalDpi="300" verticalDpi="300"/>
  <headerFooter>
    <oddFooter>&amp;C&amp;P</oddFooter>
  </headerFooter>
  <rowBreaks count="1" manualBreakCount="1">
    <brk id="114" max="16383" man="1"/>
  </rowBreaks>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MJ464"/>
  <sheetViews>
    <sheetView tabSelected="1" view="pageBreakPreview" zoomScale="90" zoomScaleNormal="110" zoomScaleSheetLayoutView="90" workbookViewId="0">
      <pane ySplit="10" topLeftCell="A107" activePane="bottomLeft" state="frozen"/>
      <selection activeCell="C1" sqref="C1"/>
      <selection pane="bottomLeft" activeCell="N197" sqref="N197"/>
    </sheetView>
  </sheetViews>
  <sheetFormatPr defaultColWidth="9.140625" defaultRowHeight="15.75"/>
  <cols>
    <col min="1" max="1" width="6.5703125" style="1" customWidth="1"/>
    <col min="2" max="2" width="27.42578125" style="1073" customWidth="1"/>
    <col min="3" max="3" width="11.140625" style="3" customWidth="1"/>
    <col min="4" max="4" width="12.85546875" style="3" customWidth="1"/>
    <col min="5" max="5" width="10" style="1" customWidth="1"/>
    <col min="6" max="6" width="10.7109375" style="1020" customWidth="1"/>
    <col min="7" max="7" width="9.85546875" style="5" customWidth="1"/>
    <col min="8" max="8" width="10.7109375" style="6" customWidth="1"/>
    <col min="9" max="9" width="13.85546875" style="6" customWidth="1"/>
    <col min="10" max="10" width="14.5703125" style="1100" customWidth="1"/>
    <col min="11" max="11" width="13.140625" style="1100" customWidth="1"/>
    <col min="12" max="12" width="13.5703125" style="1100" customWidth="1"/>
    <col min="13" max="13" width="14" style="8" customWidth="1"/>
    <col min="14" max="14" width="20.7109375" style="1" customWidth="1"/>
    <col min="15" max="15" width="16.140625" style="9" customWidth="1"/>
    <col min="16" max="16" width="47.5703125" style="10" customWidth="1"/>
    <col min="17" max="17" width="13.85546875" style="11" customWidth="1"/>
    <col min="18" max="18" width="16" style="11" customWidth="1"/>
    <col min="19" max="1024" width="9.140625" style="11"/>
  </cols>
  <sheetData>
    <row r="3" spans="1:19">
      <c r="A3" s="11"/>
      <c r="B3" s="1074" t="s">
        <v>444</v>
      </c>
      <c r="P3" s="639" t="s">
        <v>0</v>
      </c>
    </row>
    <row r="4" spans="1:19">
      <c r="A4" s="15"/>
      <c r="B4" s="1075"/>
    </row>
    <row r="5" spans="1:19" ht="19.5">
      <c r="A5" s="1226" t="s">
        <v>1</v>
      </c>
      <c r="B5" s="1236"/>
      <c r="C5" s="1226"/>
      <c r="D5" s="1226"/>
      <c r="E5" s="1226"/>
      <c r="F5" s="1236"/>
      <c r="G5" s="1226"/>
      <c r="H5" s="1226"/>
      <c r="I5" s="1226"/>
      <c r="J5" s="1236"/>
      <c r="K5" s="1236"/>
      <c r="L5" s="1236"/>
      <c r="M5" s="1226"/>
      <c r="N5" s="1226"/>
      <c r="O5" s="1226"/>
      <c r="P5" s="1226"/>
    </row>
    <row r="6" spans="1:19" ht="19.5">
      <c r="A6" s="1226" t="s">
        <v>2</v>
      </c>
      <c r="B6" s="1236"/>
      <c r="C6" s="1226"/>
      <c r="D6" s="1226"/>
      <c r="E6" s="1226"/>
      <c r="F6" s="1236"/>
      <c r="G6" s="1226"/>
      <c r="H6" s="1226"/>
      <c r="I6" s="1226"/>
      <c r="J6" s="1236"/>
      <c r="K6" s="1236"/>
      <c r="L6" s="1236"/>
      <c r="M6" s="1226"/>
      <c r="N6" s="1226"/>
      <c r="O6" s="1226"/>
      <c r="P6" s="1226"/>
    </row>
    <row r="7" spans="1:19">
      <c r="A7" s="15"/>
      <c r="B7" s="1075"/>
    </row>
    <row r="8" spans="1:19" s="20" customFormat="1" ht="39.950000000000003" customHeight="1" thickBot="1">
      <c r="A8" s="1237" t="s">
        <v>3</v>
      </c>
      <c r="B8" s="1238" t="s">
        <v>4</v>
      </c>
      <c r="C8" s="1234" t="s">
        <v>5</v>
      </c>
      <c r="D8" s="1234" t="s">
        <v>6</v>
      </c>
      <c r="E8" s="1234" t="s">
        <v>7</v>
      </c>
      <c r="F8" s="1239" t="s">
        <v>8</v>
      </c>
      <c r="G8" s="1233" t="s">
        <v>9</v>
      </c>
      <c r="H8" s="1240" t="s">
        <v>10</v>
      </c>
      <c r="I8" s="1240" t="s">
        <v>11</v>
      </c>
      <c r="J8" s="1241" t="s">
        <v>445</v>
      </c>
      <c r="K8" s="1241" t="s">
        <v>446</v>
      </c>
      <c r="L8" s="1241" t="s">
        <v>447</v>
      </c>
      <c r="M8" s="1233" t="s">
        <v>15</v>
      </c>
      <c r="N8" s="1234" t="s">
        <v>16</v>
      </c>
      <c r="O8" s="1235" t="s">
        <v>17</v>
      </c>
      <c r="P8" s="1235"/>
    </row>
    <row r="9" spans="1:19" s="23" customFormat="1" ht="57" customHeight="1" thickBot="1">
      <c r="A9" s="1237"/>
      <c r="B9" s="1238"/>
      <c r="C9" s="1234"/>
      <c r="D9" s="1234"/>
      <c r="E9" s="1234"/>
      <c r="F9" s="1239"/>
      <c r="G9" s="1233"/>
      <c r="H9" s="1240"/>
      <c r="I9" s="1240"/>
      <c r="J9" s="1241"/>
      <c r="K9" s="1241"/>
      <c r="L9" s="1241"/>
      <c r="M9" s="1233"/>
      <c r="N9" s="1234"/>
      <c r="O9" s="640" t="s">
        <v>18</v>
      </c>
      <c r="P9" s="641" t="s">
        <v>19</v>
      </c>
    </row>
    <row r="10" spans="1:19" s="12" customFormat="1" ht="16.5" thickBot="1">
      <c r="A10" s="642">
        <v>0</v>
      </c>
      <c r="B10" s="1076">
        <v>1</v>
      </c>
      <c r="C10" s="643">
        <v>2</v>
      </c>
      <c r="D10" s="643">
        <v>3</v>
      </c>
      <c r="E10" s="643">
        <v>4</v>
      </c>
      <c r="F10" s="1021">
        <v>5</v>
      </c>
      <c r="G10" s="644">
        <v>6</v>
      </c>
      <c r="H10" s="645">
        <v>7</v>
      </c>
      <c r="I10" s="645">
        <v>8</v>
      </c>
      <c r="J10" s="1101">
        <v>9</v>
      </c>
      <c r="K10" s="1101">
        <v>10</v>
      </c>
      <c r="L10" s="1101">
        <v>11</v>
      </c>
      <c r="M10" s="644">
        <v>12</v>
      </c>
      <c r="N10" s="645">
        <v>13</v>
      </c>
      <c r="O10" s="646">
        <v>14</v>
      </c>
      <c r="P10" s="647">
        <v>15</v>
      </c>
    </row>
    <row r="11" spans="1:19" s="12" customFormat="1" ht="38.25">
      <c r="A11" s="1053">
        <v>1</v>
      </c>
      <c r="B11" s="1054" t="s">
        <v>210</v>
      </c>
      <c r="C11" s="1055" t="s">
        <v>41</v>
      </c>
      <c r="D11" s="1056" t="s">
        <v>448</v>
      </c>
      <c r="E11" s="1057" t="s">
        <v>23</v>
      </c>
      <c r="F11" s="1091">
        <v>1217</v>
      </c>
      <c r="G11" s="1058">
        <v>111</v>
      </c>
      <c r="H11" s="1059">
        <v>0.99</v>
      </c>
      <c r="I11" s="1060">
        <f t="shared" ref="I11:I55" si="0">K11/J11</f>
        <v>0.68076647283822911</v>
      </c>
      <c r="J11" s="1102">
        <v>4556091</v>
      </c>
      <c r="K11" s="1102">
        <v>3101634</v>
      </c>
      <c r="L11" s="1102">
        <v>183193</v>
      </c>
      <c r="M11" s="1058">
        <f t="shared" ref="M11:M42" si="1">J11-K11-L11</f>
        <v>1271264</v>
      </c>
      <c r="N11" s="1061" t="s">
        <v>449</v>
      </c>
      <c r="O11" s="1062">
        <v>1101964000</v>
      </c>
      <c r="P11" s="1063"/>
      <c r="Q11" s="648"/>
      <c r="R11" s="648"/>
      <c r="S11" s="648"/>
    </row>
    <row r="12" spans="1:19" s="12" customFormat="1" ht="93" customHeight="1">
      <c r="A12" s="924">
        <v>2</v>
      </c>
      <c r="B12" s="922" t="s">
        <v>34</v>
      </c>
      <c r="C12" s="923" t="s">
        <v>21</v>
      </c>
      <c r="D12" s="929" t="s">
        <v>35</v>
      </c>
      <c r="E12" s="924" t="s">
        <v>23</v>
      </c>
      <c r="F12" s="925">
        <v>1437</v>
      </c>
      <c r="G12" s="926">
        <v>110</v>
      </c>
      <c r="H12" s="927">
        <v>0.6</v>
      </c>
      <c r="I12" s="927">
        <f t="shared" si="0"/>
        <v>0.59777285566235194</v>
      </c>
      <c r="J12" s="928">
        <v>246055</v>
      </c>
      <c r="K12" s="926">
        <v>147085</v>
      </c>
      <c r="L12" s="926">
        <v>40914</v>
      </c>
      <c r="M12" s="926">
        <f t="shared" si="1"/>
        <v>58056</v>
      </c>
      <c r="N12" s="929" t="s">
        <v>66</v>
      </c>
      <c r="O12" s="926">
        <f>97478272/5</f>
        <v>19495654.399999999</v>
      </c>
      <c r="P12" s="1064" t="s">
        <v>450</v>
      </c>
    </row>
    <row r="13" spans="1:19" s="12" customFormat="1" ht="36" customHeight="1">
      <c r="A13" s="924">
        <v>3</v>
      </c>
      <c r="B13" s="970" t="s">
        <v>215</v>
      </c>
      <c r="C13" s="930" t="s">
        <v>41</v>
      </c>
      <c r="D13" s="931" t="s">
        <v>448</v>
      </c>
      <c r="E13" s="932" t="s">
        <v>23</v>
      </c>
      <c r="F13" s="933">
        <v>718</v>
      </c>
      <c r="G13" s="934">
        <v>109</v>
      </c>
      <c r="H13" s="927">
        <v>0.78</v>
      </c>
      <c r="I13" s="935">
        <f t="shared" si="0"/>
        <v>0.308879045345126</v>
      </c>
      <c r="J13" s="926">
        <v>815876</v>
      </c>
      <c r="K13" s="926">
        <v>252007</v>
      </c>
      <c r="L13" s="926">
        <v>152388</v>
      </c>
      <c r="M13" s="926">
        <f t="shared" si="1"/>
        <v>411481</v>
      </c>
      <c r="N13" s="929" t="s">
        <v>451</v>
      </c>
      <c r="O13" s="926">
        <v>478345930</v>
      </c>
      <c r="P13" s="963" t="s">
        <v>217</v>
      </c>
    </row>
    <row r="14" spans="1:19" s="12" customFormat="1" ht="59.25" customHeight="1">
      <c r="A14" s="924">
        <v>4</v>
      </c>
      <c r="B14" s="922" t="s">
        <v>270</v>
      </c>
      <c r="C14" s="930" t="s">
        <v>41</v>
      </c>
      <c r="D14" s="931" t="s">
        <v>448</v>
      </c>
      <c r="E14" s="923" t="s">
        <v>23</v>
      </c>
      <c r="F14" s="936">
        <v>983</v>
      </c>
      <c r="G14" s="926">
        <v>109</v>
      </c>
      <c r="H14" s="937">
        <v>0.81679999999999997</v>
      </c>
      <c r="I14" s="935">
        <f t="shared" si="0"/>
        <v>0.65913293845153853</v>
      </c>
      <c r="J14" s="926">
        <v>873848</v>
      </c>
      <c r="K14" s="926">
        <v>575982</v>
      </c>
      <c r="L14" s="926">
        <v>94909</v>
      </c>
      <c r="M14" s="926">
        <f t="shared" si="1"/>
        <v>202957</v>
      </c>
      <c r="N14" s="929" t="s">
        <v>452</v>
      </c>
      <c r="O14" s="938">
        <v>156750000</v>
      </c>
      <c r="P14" s="1005"/>
    </row>
    <row r="15" spans="1:19" s="12" customFormat="1" ht="68.25" customHeight="1">
      <c r="A15" s="924">
        <v>5</v>
      </c>
      <c r="B15" s="922" t="s">
        <v>135</v>
      </c>
      <c r="C15" s="930" t="s">
        <v>41</v>
      </c>
      <c r="D15" s="931" t="s">
        <v>367</v>
      </c>
      <c r="E15" s="923" t="s">
        <v>23</v>
      </c>
      <c r="F15" s="936">
        <v>1565</v>
      </c>
      <c r="G15" s="934">
        <v>108</v>
      </c>
      <c r="H15" s="939">
        <v>0.93</v>
      </c>
      <c r="I15" s="927">
        <f t="shared" si="0"/>
        <v>0.76679601375782702</v>
      </c>
      <c r="J15" s="926">
        <v>113390</v>
      </c>
      <c r="K15" s="926">
        <v>86947</v>
      </c>
      <c r="L15" s="926">
        <v>22183</v>
      </c>
      <c r="M15" s="926">
        <f t="shared" si="1"/>
        <v>4260</v>
      </c>
      <c r="N15" s="929" t="s">
        <v>52</v>
      </c>
      <c r="O15" s="928">
        <f>8774528/5</f>
        <v>1754905.6000000001</v>
      </c>
      <c r="P15" s="963" t="s">
        <v>136</v>
      </c>
    </row>
    <row r="16" spans="1:19" s="12" customFormat="1" ht="82.5" customHeight="1">
      <c r="A16" s="924">
        <v>6</v>
      </c>
      <c r="B16" s="995" t="s">
        <v>200</v>
      </c>
      <c r="C16" s="930" t="s">
        <v>41</v>
      </c>
      <c r="D16" s="940" t="s">
        <v>448</v>
      </c>
      <c r="E16" s="923" t="s">
        <v>201</v>
      </c>
      <c r="F16" s="936">
        <v>1285</v>
      </c>
      <c r="G16" s="926">
        <v>107</v>
      </c>
      <c r="H16" s="939">
        <v>0.8</v>
      </c>
      <c r="I16" s="935">
        <f t="shared" si="0"/>
        <v>0.29446903255586632</v>
      </c>
      <c r="J16" s="926">
        <v>883896</v>
      </c>
      <c r="K16" s="926">
        <v>260280</v>
      </c>
      <c r="L16" s="926">
        <v>101797</v>
      </c>
      <c r="M16" s="926">
        <f t="shared" si="1"/>
        <v>521819</v>
      </c>
      <c r="N16" s="929" t="s">
        <v>453</v>
      </c>
      <c r="O16" s="928">
        <v>40106366</v>
      </c>
      <c r="P16" s="972" t="s">
        <v>454</v>
      </c>
    </row>
    <row r="17" spans="1:20" s="12" customFormat="1" ht="45.75" customHeight="1">
      <c r="A17" s="924">
        <v>7</v>
      </c>
      <c r="B17" s="922" t="s">
        <v>245</v>
      </c>
      <c r="C17" s="930" t="s">
        <v>41</v>
      </c>
      <c r="D17" s="931" t="s">
        <v>448</v>
      </c>
      <c r="E17" s="923" t="s">
        <v>23</v>
      </c>
      <c r="F17" s="936">
        <v>1317</v>
      </c>
      <c r="G17" s="934">
        <v>106</v>
      </c>
      <c r="H17" s="939">
        <v>0.65</v>
      </c>
      <c r="I17" s="927">
        <f t="shared" si="0"/>
        <v>0.4361818857052826</v>
      </c>
      <c r="J17" s="926">
        <v>355432</v>
      </c>
      <c r="K17" s="926">
        <v>155033</v>
      </c>
      <c r="L17" s="926">
        <v>48560</v>
      </c>
      <c r="M17" s="926">
        <f t="shared" si="1"/>
        <v>151839</v>
      </c>
      <c r="N17" s="929" t="s">
        <v>52</v>
      </c>
      <c r="O17" s="928">
        <f>105098*1000</f>
        <v>105098000</v>
      </c>
      <c r="P17" s="1065"/>
    </row>
    <row r="18" spans="1:20" s="12" customFormat="1" ht="47.25" customHeight="1">
      <c r="A18" s="924">
        <v>8</v>
      </c>
      <c r="B18" s="922" t="s">
        <v>53</v>
      </c>
      <c r="C18" s="930" t="s">
        <v>41</v>
      </c>
      <c r="D18" s="940" t="s">
        <v>448</v>
      </c>
      <c r="E18" s="923" t="s">
        <v>23</v>
      </c>
      <c r="F18" s="936">
        <v>1304</v>
      </c>
      <c r="G18" s="934">
        <v>106</v>
      </c>
      <c r="H18" s="939">
        <v>0.55000000000000004</v>
      </c>
      <c r="I18" s="935">
        <f t="shared" si="0"/>
        <v>0.40897914316294948</v>
      </c>
      <c r="J18" s="926">
        <v>241983</v>
      </c>
      <c r="K18" s="926">
        <v>98966</v>
      </c>
      <c r="L18" s="926">
        <v>33294</v>
      </c>
      <c r="M18" s="926">
        <f t="shared" si="1"/>
        <v>109723</v>
      </c>
      <c r="N18" s="929" t="s">
        <v>455</v>
      </c>
      <c r="O18" s="928">
        <f>40947732</f>
        <v>40947732</v>
      </c>
      <c r="P18" s="1065"/>
    </row>
    <row r="19" spans="1:20" s="12" customFormat="1" ht="50.25" customHeight="1">
      <c r="A19" s="924">
        <v>9</v>
      </c>
      <c r="B19" s="1003" t="s">
        <v>20</v>
      </c>
      <c r="C19" s="941" t="s">
        <v>21</v>
      </c>
      <c r="D19" s="941" t="s">
        <v>22</v>
      </c>
      <c r="E19" s="924" t="s">
        <v>23</v>
      </c>
      <c r="F19" s="942">
        <v>1185</v>
      </c>
      <c r="G19" s="926">
        <f>106</f>
        <v>106</v>
      </c>
      <c r="H19" s="927">
        <v>0.35499999999999998</v>
      </c>
      <c r="I19" s="927">
        <f t="shared" si="0"/>
        <v>0.34385709428264666</v>
      </c>
      <c r="J19" s="943">
        <v>3805642</v>
      </c>
      <c r="K19" s="926">
        <v>1308597</v>
      </c>
      <c r="L19" s="943">
        <v>537853</v>
      </c>
      <c r="M19" s="926">
        <f t="shared" si="1"/>
        <v>1959192</v>
      </c>
      <c r="N19" s="929" t="s">
        <v>66</v>
      </c>
      <c r="O19" s="938">
        <v>573891887</v>
      </c>
      <c r="P19" s="1064" t="s">
        <v>456</v>
      </c>
    </row>
    <row r="20" spans="1:20" s="12" customFormat="1" ht="68.25" customHeight="1">
      <c r="A20" s="924">
        <v>10</v>
      </c>
      <c r="B20" s="922" t="s">
        <v>82</v>
      </c>
      <c r="C20" s="944" t="s">
        <v>41</v>
      </c>
      <c r="D20" s="931" t="s">
        <v>448</v>
      </c>
      <c r="E20" s="923" t="s">
        <v>23</v>
      </c>
      <c r="F20" s="942">
        <v>1467</v>
      </c>
      <c r="G20" s="926">
        <v>106</v>
      </c>
      <c r="H20" s="939">
        <v>0.28499999999999998</v>
      </c>
      <c r="I20" s="927">
        <f t="shared" si="0"/>
        <v>6.2703873162209822E-3</v>
      </c>
      <c r="J20" s="926">
        <v>788787</v>
      </c>
      <c r="K20" s="926">
        <v>4946</v>
      </c>
      <c r="L20" s="926">
        <v>81504</v>
      </c>
      <c r="M20" s="926">
        <f t="shared" si="1"/>
        <v>702337</v>
      </c>
      <c r="N20" s="929" t="s">
        <v>183</v>
      </c>
      <c r="O20" s="928">
        <v>1267439772</v>
      </c>
      <c r="P20" s="1066" t="s">
        <v>457</v>
      </c>
    </row>
    <row r="21" spans="1:20" s="12" customFormat="1" ht="68.25" customHeight="1">
      <c r="A21" s="924">
        <v>11</v>
      </c>
      <c r="B21" s="947" t="s">
        <v>72</v>
      </c>
      <c r="C21" s="944" t="s">
        <v>41</v>
      </c>
      <c r="D21" s="931" t="s">
        <v>448</v>
      </c>
      <c r="E21" s="923" t="s">
        <v>23</v>
      </c>
      <c r="F21" s="936">
        <v>1425</v>
      </c>
      <c r="G21" s="934">
        <v>106</v>
      </c>
      <c r="H21" s="939">
        <v>0.48449999999999999</v>
      </c>
      <c r="I21" s="927">
        <f t="shared" si="0"/>
        <v>4.5940249192281714E-2</v>
      </c>
      <c r="J21" s="926">
        <v>245754</v>
      </c>
      <c r="K21" s="926">
        <v>11290</v>
      </c>
      <c r="L21" s="926">
        <v>214</v>
      </c>
      <c r="M21" s="926">
        <f t="shared" si="1"/>
        <v>234250</v>
      </c>
      <c r="N21" s="929" t="s">
        <v>52</v>
      </c>
      <c r="O21" s="928">
        <v>1121421133</v>
      </c>
      <c r="P21" s="963" t="s">
        <v>458</v>
      </c>
    </row>
    <row r="22" spans="1:20" s="12" customFormat="1" ht="68.25" customHeight="1">
      <c r="A22" s="924">
        <v>12</v>
      </c>
      <c r="B22" s="923" t="s">
        <v>127</v>
      </c>
      <c r="C22" s="930" t="s">
        <v>41</v>
      </c>
      <c r="D22" s="931" t="s">
        <v>448</v>
      </c>
      <c r="E22" s="923" t="s">
        <v>23</v>
      </c>
      <c r="F22" s="936">
        <v>1443</v>
      </c>
      <c r="G22" s="934">
        <v>106</v>
      </c>
      <c r="H22" s="939">
        <v>0.15129999999999999</v>
      </c>
      <c r="I22" s="927">
        <f t="shared" si="0"/>
        <v>4.3798821758353782E-3</v>
      </c>
      <c r="J22" s="926">
        <v>168726</v>
      </c>
      <c r="K22" s="926">
        <v>739</v>
      </c>
      <c r="L22" s="926">
        <v>250</v>
      </c>
      <c r="M22" s="926">
        <f t="shared" si="1"/>
        <v>167737</v>
      </c>
      <c r="N22" s="929" t="s">
        <v>183</v>
      </c>
      <c r="O22" s="928">
        <f>16377854</f>
        <v>16377854</v>
      </c>
      <c r="P22" s="1066" t="s">
        <v>459</v>
      </c>
    </row>
    <row r="23" spans="1:20" s="12" customFormat="1" ht="68.25" customHeight="1">
      <c r="A23" s="924">
        <v>13</v>
      </c>
      <c r="B23" s="947" t="s">
        <v>295</v>
      </c>
      <c r="C23" s="930" t="s">
        <v>41</v>
      </c>
      <c r="D23" s="931" t="s">
        <v>448</v>
      </c>
      <c r="E23" s="945" t="s">
        <v>23</v>
      </c>
      <c r="F23" s="936">
        <v>820</v>
      </c>
      <c r="G23" s="934">
        <v>106</v>
      </c>
      <c r="H23" s="939">
        <v>0.35</v>
      </c>
      <c r="I23" s="927">
        <f t="shared" si="0"/>
        <v>4.6379957372804897E-2</v>
      </c>
      <c r="J23" s="926">
        <v>305908</v>
      </c>
      <c r="K23" s="926">
        <v>14188</v>
      </c>
      <c r="L23" s="926">
        <v>31759</v>
      </c>
      <c r="M23" s="926">
        <f t="shared" si="1"/>
        <v>259961</v>
      </c>
      <c r="N23" s="929" t="s">
        <v>460</v>
      </c>
      <c r="O23" s="938">
        <v>32810486</v>
      </c>
      <c r="P23" s="1005"/>
    </row>
    <row r="24" spans="1:20" s="12" customFormat="1" ht="68.25" customHeight="1">
      <c r="A24" s="924">
        <v>14</v>
      </c>
      <c r="B24" s="947" t="s">
        <v>322</v>
      </c>
      <c r="C24" s="930" t="s">
        <v>41</v>
      </c>
      <c r="D24" s="940" t="s">
        <v>448</v>
      </c>
      <c r="E24" s="932" t="s">
        <v>23</v>
      </c>
      <c r="F24" s="936">
        <v>872</v>
      </c>
      <c r="G24" s="934">
        <v>106</v>
      </c>
      <c r="H24" s="939">
        <v>0.65</v>
      </c>
      <c r="I24" s="927">
        <f t="shared" si="0"/>
        <v>0.4024439714536121</v>
      </c>
      <c r="J24" s="926">
        <v>199675</v>
      </c>
      <c r="K24" s="926">
        <v>80358</v>
      </c>
      <c r="L24" s="926">
        <v>35000</v>
      </c>
      <c r="M24" s="926">
        <f t="shared" si="1"/>
        <v>84317</v>
      </c>
      <c r="N24" s="929" t="s">
        <v>52</v>
      </c>
      <c r="O24" s="938">
        <v>62681.04</v>
      </c>
      <c r="P24" s="1005"/>
    </row>
    <row r="25" spans="1:20" s="12" customFormat="1" ht="68.25" customHeight="1">
      <c r="A25" s="924">
        <v>15</v>
      </c>
      <c r="B25" s="922" t="s">
        <v>141</v>
      </c>
      <c r="C25" s="930" t="s">
        <v>41</v>
      </c>
      <c r="D25" s="931" t="s">
        <v>367</v>
      </c>
      <c r="E25" s="945" t="s">
        <v>23</v>
      </c>
      <c r="F25" s="936">
        <v>1560</v>
      </c>
      <c r="G25" s="934">
        <v>105</v>
      </c>
      <c r="H25" s="939">
        <v>0.27260000000000001</v>
      </c>
      <c r="I25" s="927">
        <f t="shared" si="0"/>
        <v>0.23610486891385768</v>
      </c>
      <c r="J25" s="926">
        <v>126825</v>
      </c>
      <c r="K25" s="928">
        <v>29944</v>
      </c>
      <c r="L25" s="928">
        <v>29000</v>
      </c>
      <c r="M25" s="926">
        <f t="shared" si="1"/>
        <v>67881</v>
      </c>
      <c r="N25" s="929" t="s">
        <v>183</v>
      </c>
      <c r="O25" s="928">
        <f>2668.4*1000</f>
        <v>2668400</v>
      </c>
      <c r="P25" s="963" t="s">
        <v>461</v>
      </c>
    </row>
    <row r="26" spans="1:20" s="12" customFormat="1" ht="68.25" customHeight="1">
      <c r="A26" s="924">
        <v>16</v>
      </c>
      <c r="B26" s="947" t="s">
        <v>207</v>
      </c>
      <c r="C26" s="946" t="s">
        <v>41</v>
      </c>
      <c r="D26" s="940" t="s">
        <v>448</v>
      </c>
      <c r="E26" s="945" t="s">
        <v>23</v>
      </c>
      <c r="F26" s="936">
        <v>1371</v>
      </c>
      <c r="G26" s="934">
        <v>105</v>
      </c>
      <c r="H26" s="939">
        <v>0.46500000000000002</v>
      </c>
      <c r="I26" s="935">
        <f t="shared" si="0"/>
        <v>0.14716474153859155</v>
      </c>
      <c r="J26" s="926">
        <v>7289212</v>
      </c>
      <c r="K26" s="926">
        <v>1072715</v>
      </c>
      <c r="L26" s="926">
        <v>787912</v>
      </c>
      <c r="M26" s="926">
        <f t="shared" si="1"/>
        <v>5428585</v>
      </c>
      <c r="N26" s="929" t="s">
        <v>24</v>
      </c>
      <c r="O26" s="928">
        <f>690.58*1000</f>
        <v>690580</v>
      </c>
      <c r="P26" s="1005"/>
    </row>
    <row r="27" spans="1:20" s="12" customFormat="1" ht="68.25" customHeight="1">
      <c r="A27" s="924">
        <v>17</v>
      </c>
      <c r="B27" s="947" t="s">
        <v>73</v>
      </c>
      <c r="C27" s="944" t="s">
        <v>41</v>
      </c>
      <c r="D27" s="940" t="s">
        <v>448</v>
      </c>
      <c r="E27" s="945" t="s">
        <v>23</v>
      </c>
      <c r="F27" s="942">
        <v>1446</v>
      </c>
      <c r="G27" s="926">
        <v>105</v>
      </c>
      <c r="H27" s="939">
        <v>0.3775</v>
      </c>
      <c r="I27" s="935">
        <f t="shared" si="0"/>
        <v>8.3920313016673131E-2</v>
      </c>
      <c r="J27" s="926">
        <v>7264022</v>
      </c>
      <c r="K27" s="926">
        <v>609599</v>
      </c>
      <c r="L27" s="926">
        <v>797034</v>
      </c>
      <c r="M27" s="926">
        <f t="shared" si="1"/>
        <v>5857389</v>
      </c>
      <c r="N27" s="929" t="s">
        <v>462</v>
      </c>
      <c r="O27" s="928">
        <f>292.66*1000</f>
        <v>292660</v>
      </c>
      <c r="P27" s="1005"/>
    </row>
    <row r="28" spans="1:20" s="12" customFormat="1" ht="68.25" customHeight="1">
      <c r="A28" s="924">
        <v>18</v>
      </c>
      <c r="B28" s="922" t="s">
        <v>256</v>
      </c>
      <c r="C28" s="930" t="s">
        <v>41</v>
      </c>
      <c r="D28" s="940" t="s">
        <v>367</v>
      </c>
      <c r="E28" s="923" t="s">
        <v>23</v>
      </c>
      <c r="F28" s="936">
        <v>1532</v>
      </c>
      <c r="G28" s="934">
        <v>104</v>
      </c>
      <c r="H28" s="939">
        <v>0.31459999999999999</v>
      </c>
      <c r="I28" s="935">
        <f t="shared" si="0"/>
        <v>0.11674886191198786</v>
      </c>
      <c r="J28" s="926">
        <v>780256</v>
      </c>
      <c r="K28" s="926">
        <v>91094</v>
      </c>
      <c r="L28" s="926">
        <v>0</v>
      </c>
      <c r="M28" s="926">
        <f t="shared" si="1"/>
        <v>689162</v>
      </c>
      <c r="N28" s="929" t="s">
        <v>74</v>
      </c>
      <c r="O28" s="928">
        <v>311486954</v>
      </c>
      <c r="P28" s="963" t="s">
        <v>463</v>
      </c>
    </row>
    <row r="29" spans="1:20" s="12" customFormat="1" ht="68.25" customHeight="1">
      <c r="A29" s="924">
        <v>19</v>
      </c>
      <c r="B29" s="922" t="s">
        <v>94</v>
      </c>
      <c r="C29" s="944" t="s">
        <v>41</v>
      </c>
      <c r="D29" s="931" t="s">
        <v>448</v>
      </c>
      <c r="E29" s="923" t="s">
        <v>23</v>
      </c>
      <c r="F29" s="948">
        <v>1524</v>
      </c>
      <c r="G29" s="926">
        <v>104</v>
      </c>
      <c r="H29" s="939">
        <v>0</v>
      </c>
      <c r="I29" s="927">
        <f t="shared" si="0"/>
        <v>8.3776872310571996E-4</v>
      </c>
      <c r="J29" s="926">
        <v>341383</v>
      </c>
      <c r="K29" s="926">
        <v>286</v>
      </c>
      <c r="L29" s="1103">
        <v>0</v>
      </c>
      <c r="M29" s="926">
        <f t="shared" si="1"/>
        <v>341097</v>
      </c>
      <c r="N29" s="929">
        <v>2025</v>
      </c>
      <c r="O29" s="928">
        <f>14238*1000</f>
        <v>14238000</v>
      </c>
      <c r="P29" s="1005"/>
    </row>
    <row r="30" spans="1:20" s="12" customFormat="1" ht="68.25" customHeight="1">
      <c r="A30" s="924">
        <v>20</v>
      </c>
      <c r="B30" s="949" t="s">
        <v>93</v>
      </c>
      <c r="C30" s="930" t="s">
        <v>464</v>
      </c>
      <c r="D30" s="950" t="s">
        <v>448</v>
      </c>
      <c r="E30" s="923" t="s">
        <v>23</v>
      </c>
      <c r="F30" s="936">
        <v>1525</v>
      </c>
      <c r="G30" s="934">
        <v>104</v>
      </c>
      <c r="H30" s="927">
        <v>0</v>
      </c>
      <c r="I30" s="927">
        <f t="shared" si="0"/>
        <v>0</v>
      </c>
      <c r="J30" s="943">
        <v>838287</v>
      </c>
      <c r="K30" s="943">
        <v>0</v>
      </c>
      <c r="L30" s="943">
        <v>18749</v>
      </c>
      <c r="M30" s="926">
        <f t="shared" si="1"/>
        <v>819538</v>
      </c>
      <c r="N30" s="929" t="s">
        <v>74</v>
      </c>
      <c r="O30" s="928">
        <v>32334000</v>
      </c>
      <c r="P30" s="994"/>
      <c r="Q30" s="118"/>
    </row>
    <row r="31" spans="1:20" s="12" customFormat="1" ht="61.5" customHeight="1">
      <c r="A31" s="924">
        <v>21</v>
      </c>
      <c r="B31" s="922" t="s">
        <v>159</v>
      </c>
      <c r="C31" s="930" t="s">
        <v>41</v>
      </c>
      <c r="D31" s="931" t="s">
        <v>367</v>
      </c>
      <c r="E31" s="951" t="s">
        <v>23</v>
      </c>
      <c r="F31" s="1092">
        <v>1533</v>
      </c>
      <c r="G31" s="934">
        <v>103</v>
      </c>
      <c r="H31" s="939">
        <v>0.1951</v>
      </c>
      <c r="I31" s="935">
        <f t="shared" si="0"/>
        <v>0.2364252714945701</v>
      </c>
      <c r="J31" s="926">
        <v>233338</v>
      </c>
      <c r="K31" s="928">
        <v>55167</v>
      </c>
      <c r="L31" s="928">
        <v>0</v>
      </c>
      <c r="M31" s="926">
        <f t="shared" si="1"/>
        <v>178171</v>
      </c>
      <c r="N31" s="929" t="s">
        <v>74</v>
      </c>
      <c r="O31" s="928">
        <v>22208934</v>
      </c>
      <c r="P31" s="963" t="s">
        <v>461</v>
      </c>
      <c r="Q31" s="649"/>
      <c r="R31" s="649"/>
      <c r="S31" s="649"/>
      <c r="T31" s="649"/>
    </row>
    <row r="32" spans="1:20" s="12" customFormat="1" ht="62.25" customHeight="1">
      <c r="A32" s="924">
        <v>22</v>
      </c>
      <c r="B32" s="922" t="s">
        <v>465</v>
      </c>
      <c r="C32" s="944" t="s">
        <v>41</v>
      </c>
      <c r="D32" s="931" t="s">
        <v>448</v>
      </c>
      <c r="E32" s="923" t="s">
        <v>23</v>
      </c>
      <c r="F32" s="942">
        <v>1507</v>
      </c>
      <c r="G32" s="926">
        <v>102</v>
      </c>
      <c r="H32" s="939">
        <v>0</v>
      </c>
      <c r="I32" s="927">
        <f t="shared" si="0"/>
        <v>1.0340651063724124E-2</v>
      </c>
      <c r="J32" s="926">
        <v>1087359</v>
      </c>
      <c r="K32" s="926">
        <v>11244</v>
      </c>
      <c r="L32" s="926">
        <v>15000</v>
      </c>
      <c r="M32" s="926">
        <f t="shared" si="1"/>
        <v>1061115</v>
      </c>
      <c r="N32" s="929" t="s">
        <v>24</v>
      </c>
      <c r="O32" s="928">
        <v>19049000</v>
      </c>
      <c r="P32" s="1005"/>
    </row>
    <row r="33" spans="1:23" s="12" customFormat="1" ht="111.75" customHeight="1">
      <c r="A33" s="924">
        <v>23</v>
      </c>
      <c r="B33" s="922" t="s">
        <v>99</v>
      </c>
      <c r="C33" s="944" t="s">
        <v>41</v>
      </c>
      <c r="D33" s="931" t="s">
        <v>448</v>
      </c>
      <c r="E33" s="923" t="s">
        <v>23</v>
      </c>
      <c r="F33" s="942">
        <v>1513</v>
      </c>
      <c r="G33" s="926">
        <v>102</v>
      </c>
      <c r="H33" s="939">
        <v>0</v>
      </c>
      <c r="I33" s="935">
        <f t="shared" si="0"/>
        <v>2.2172549302375889E-3</v>
      </c>
      <c r="J33" s="928">
        <v>110948</v>
      </c>
      <c r="K33" s="926">
        <v>246</v>
      </c>
      <c r="L33" s="926">
        <v>48296</v>
      </c>
      <c r="M33" s="926">
        <f t="shared" si="1"/>
        <v>62406</v>
      </c>
      <c r="N33" s="929" t="s">
        <v>466</v>
      </c>
      <c r="O33" s="928">
        <f>11.17*1000</f>
        <v>11170</v>
      </c>
      <c r="P33" s="1005"/>
    </row>
    <row r="34" spans="1:23" s="12" customFormat="1" ht="135" customHeight="1">
      <c r="A34" s="924">
        <v>24</v>
      </c>
      <c r="B34" s="947" t="s">
        <v>220</v>
      </c>
      <c r="C34" s="952" t="s">
        <v>107</v>
      </c>
      <c r="D34" s="923" t="s">
        <v>221</v>
      </c>
      <c r="E34" s="923" t="s">
        <v>23</v>
      </c>
      <c r="F34" s="936">
        <v>1107</v>
      </c>
      <c r="G34" s="934">
        <v>102</v>
      </c>
      <c r="H34" s="939">
        <v>0.35</v>
      </c>
      <c r="I34" s="927">
        <f t="shared" si="0"/>
        <v>0.16059934384839522</v>
      </c>
      <c r="J34" s="926">
        <v>272498</v>
      </c>
      <c r="K34" s="926">
        <v>43763</v>
      </c>
      <c r="L34" s="926">
        <v>30785</v>
      </c>
      <c r="M34" s="926">
        <f t="shared" si="1"/>
        <v>197950</v>
      </c>
      <c r="N34" s="929" t="s">
        <v>74</v>
      </c>
      <c r="O34" s="928">
        <f>61525748/5</f>
        <v>12305149.6</v>
      </c>
      <c r="P34" s="1011" t="s">
        <v>467</v>
      </c>
      <c r="Q34" s="650"/>
      <c r="R34" s="651"/>
      <c r="S34" s="651"/>
      <c r="T34" s="651"/>
    </row>
    <row r="35" spans="1:23" s="12" customFormat="1" ht="108" customHeight="1">
      <c r="A35" s="924">
        <v>25</v>
      </c>
      <c r="B35" s="953" t="s">
        <v>100</v>
      </c>
      <c r="C35" s="954" t="s">
        <v>41</v>
      </c>
      <c r="D35" s="955" t="s">
        <v>468</v>
      </c>
      <c r="E35" s="945" t="s">
        <v>23</v>
      </c>
      <c r="F35" s="1093">
        <v>1489</v>
      </c>
      <c r="G35" s="956">
        <v>101</v>
      </c>
      <c r="H35" s="957">
        <v>1.26E-2</v>
      </c>
      <c r="I35" s="958">
        <f t="shared" si="0"/>
        <v>4.1907299819515915E-2</v>
      </c>
      <c r="J35" s="1104">
        <v>9493358</v>
      </c>
      <c r="K35" s="1105">
        <v>397841</v>
      </c>
      <c r="L35" s="1105">
        <v>855554</v>
      </c>
      <c r="M35" s="959">
        <f t="shared" si="1"/>
        <v>8239963</v>
      </c>
      <c r="N35" s="929">
        <v>2026</v>
      </c>
      <c r="O35" s="928">
        <v>329332133</v>
      </c>
      <c r="P35" s="963" t="s">
        <v>469</v>
      </c>
    </row>
    <row r="36" spans="1:23" s="12" customFormat="1" ht="96.75" customHeight="1">
      <c r="A36" s="924">
        <v>26</v>
      </c>
      <c r="B36" s="960" t="s">
        <v>814</v>
      </c>
      <c r="C36" s="946" t="s">
        <v>41</v>
      </c>
      <c r="D36" s="940" t="s">
        <v>468</v>
      </c>
      <c r="E36" s="945" t="s">
        <v>23</v>
      </c>
      <c r="F36" s="936">
        <v>1397</v>
      </c>
      <c r="G36" s="934">
        <v>101</v>
      </c>
      <c r="H36" s="939">
        <v>1.61E-2</v>
      </c>
      <c r="I36" s="935">
        <f t="shared" si="0"/>
        <v>5.372358977412952E-2</v>
      </c>
      <c r="J36" s="926">
        <v>8782157</v>
      </c>
      <c r="K36" s="926">
        <v>471809</v>
      </c>
      <c r="L36" s="926">
        <v>855554</v>
      </c>
      <c r="M36" s="926">
        <f t="shared" si="1"/>
        <v>7454794</v>
      </c>
      <c r="N36" s="929" t="s">
        <v>24</v>
      </c>
      <c r="O36" s="928">
        <v>309014922</v>
      </c>
      <c r="P36" s="963" t="s">
        <v>469</v>
      </c>
    </row>
    <row r="37" spans="1:23" s="12" customFormat="1" ht="30" customHeight="1">
      <c r="A37" s="924">
        <v>27</v>
      </c>
      <c r="B37" s="947" t="s">
        <v>79</v>
      </c>
      <c r="C37" s="944" t="s">
        <v>41</v>
      </c>
      <c r="D37" s="931" t="s">
        <v>448</v>
      </c>
      <c r="E37" s="923" t="s">
        <v>23</v>
      </c>
      <c r="F37" s="942">
        <v>1471</v>
      </c>
      <c r="G37" s="926">
        <v>101</v>
      </c>
      <c r="H37" s="939">
        <v>0.15</v>
      </c>
      <c r="I37" s="961">
        <f t="shared" si="0"/>
        <v>3.394926235230919E-2</v>
      </c>
      <c r="J37" s="926">
        <v>10510302</v>
      </c>
      <c r="K37" s="926">
        <v>356817</v>
      </c>
      <c r="L37" s="926">
        <v>996248</v>
      </c>
      <c r="M37" s="926">
        <f t="shared" si="1"/>
        <v>9157237</v>
      </c>
      <c r="N37" s="929" t="s">
        <v>470</v>
      </c>
      <c r="O37" s="928">
        <f>982.78*1000</f>
        <v>982780</v>
      </c>
      <c r="P37" s="962"/>
    </row>
    <row r="38" spans="1:23" s="12" customFormat="1" ht="58.5" customHeight="1">
      <c r="A38" s="924">
        <v>28</v>
      </c>
      <c r="B38" s="922" t="s">
        <v>243</v>
      </c>
      <c r="C38" s="930" t="s">
        <v>41</v>
      </c>
      <c r="D38" s="931" t="s">
        <v>448</v>
      </c>
      <c r="E38" s="923" t="s">
        <v>23</v>
      </c>
      <c r="F38" s="936">
        <v>1324</v>
      </c>
      <c r="G38" s="934">
        <v>100</v>
      </c>
      <c r="H38" s="939">
        <v>0</v>
      </c>
      <c r="I38" s="927">
        <f t="shared" si="0"/>
        <v>2.4007575951472959E-3</v>
      </c>
      <c r="J38" s="926">
        <v>195355</v>
      </c>
      <c r="K38" s="926">
        <v>469</v>
      </c>
      <c r="L38" s="926">
        <v>21792</v>
      </c>
      <c r="M38" s="926">
        <f t="shared" si="1"/>
        <v>173094</v>
      </c>
      <c r="N38" s="929" t="s">
        <v>24</v>
      </c>
      <c r="O38" s="928">
        <f>239179*1000</f>
        <v>239179000</v>
      </c>
      <c r="P38" s="1005"/>
    </row>
    <row r="39" spans="1:23" s="12" customFormat="1" ht="42" customHeight="1">
      <c r="A39" s="924">
        <v>29</v>
      </c>
      <c r="B39" s="947" t="s">
        <v>131</v>
      </c>
      <c r="C39" s="930" t="s">
        <v>41</v>
      </c>
      <c r="D39" s="931" t="s">
        <v>367</v>
      </c>
      <c r="E39" s="945" t="s">
        <v>23</v>
      </c>
      <c r="F39" s="936">
        <v>1367</v>
      </c>
      <c r="G39" s="934">
        <v>100</v>
      </c>
      <c r="H39" s="939">
        <v>7.0000000000000007E-2</v>
      </c>
      <c r="I39" s="935">
        <f t="shared" si="0"/>
        <v>5.5260835145636365E-2</v>
      </c>
      <c r="J39" s="926">
        <v>109897</v>
      </c>
      <c r="K39" s="926">
        <v>6073</v>
      </c>
      <c r="L39" s="926">
        <v>0</v>
      </c>
      <c r="M39" s="926">
        <f t="shared" si="1"/>
        <v>103824</v>
      </c>
      <c r="N39" s="929" t="s">
        <v>74</v>
      </c>
      <c r="O39" s="928">
        <v>18905428</v>
      </c>
      <c r="P39" s="963" t="s">
        <v>461</v>
      </c>
    </row>
    <row r="40" spans="1:23" s="12" customFormat="1" ht="59.25" customHeight="1">
      <c r="A40" s="924">
        <v>30</v>
      </c>
      <c r="B40" s="947" t="s">
        <v>192</v>
      </c>
      <c r="C40" s="930" t="s">
        <v>41</v>
      </c>
      <c r="D40" s="931" t="s">
        <v>448</v>
      </c>
      <c r="E40" s="945" t="s">
        <v>23</v>
      </c>
      <c r="F40" s="936">
        <v>1426</v>
      </c>
      <c r="G40" s="934">
        <v>100</v>
      </c>
      <c r="H40" s="939">
        <v>0</v>
      </c>
      <c r="I40" s="927">
        <f t="shared" si="0"/>
        <v>7.3044412481972449E-3</v>
      </c>
      <c r="J40" s="926">
        <v>513797</v>
      </c>
      <c r="K40" s="926">
        <v>3753</v>
      </c>
      <c r="L40" s="926">
        <v>637</v>
      </c>
      <c r="M40" s="926">
        <f t="shared" si="1"/>
        <v>509407</v>
      </c>
      <c r="N40" s="964" t="s">
        <v>183</v>
      </c>
      <c r="O40" s="965">
        <f>2553792</f>
        <v>2553792</v>
      </c>
      <c r="P40" s="1067" t="s">
        <v>459</v>
      </c>
    </row>
    <row r="41" spans="1:23" s="43" customFormat="1" ht="108" customHeight="1">
      <c r="A41" s="924">
        <v>31</v>
      </c>
      <c r="B41" s="947" t="s">
        <v>80</v>
      </c>
      <c r="C41" s="944" t="s">
        <v>41</v>
      </c>
      <c r="D41" s="931" t="s">
        <v>448</v>
      </c>
      <c r="E41" s="945" t="s">
        <v>23</v>
      </c>
      <c r="F41" s="942">
        <v>1487</v>
      </c>
      <c r="G41" s="926">
        <v>100</v>
      </c>
      <c r="H41" s="939">
        <v>0</v>
      </c>
      <c r="I41" s="927">
        <f t="shared" si="0"/>
        <v>4.7776111658414258E-3</v>
      </c>
      <c r="J41" s="1106">
        <v>8398758</v>
      </c>
      <c r="K41" s="926">
        <v>40126</v>
      </c>
      <c r="L41" s="926">
        <v>376689</v>
      </c>
      <c r="M41" s="926">
        <f t="shared" si="1"/>
        <v>7981943</v>
      </c>
      <c r="N41" s="929" t="s">
        <v>471</v>
      </c>
      <c r="O41" s="928">
        <f>1313.32*1000</f>
        <v>1313320</v>
      </c>
      <c r="P41" s="1005" t="s">
        <v>457</v>
      </c>
      <c r="Q41" s="12"/>
      <c r="R41" s="12"/>
      <c r="S41" s="12"/>
      <c r="T41" s="12"/>
      <c r="U41" s="12"/>
      <c r="V41" s="12"/>
      <c r="W41" s="12"/>
    </row>
    <row r="42" spans="1:23" s="43" customFormat="1" ht="48.75" customHeight="1">
      <c r="A42" s="924">
        <v>32</v>
      </c>
      <c r="B42" s="947" t="s">
        <v>133</v>
      </c>
      <c r="C42" s="930" t="s">
        <v>41</v>
      </c>
      <c r="D42" s="931" t="s">
        <v>367</v>
      </c>
      <c r="E42" s="923" t="s">
        <v>23</v>
      </c>
      <c r="F42" s="936">
        <v>1566</v>
      </c>
      <c r="G42" s="934">
        <v>100</v>
      </c>
      <c r="H42" s="939">
        <v>0.49780000000000002</v>
      </c>
      <c r="I42" s="927">
        <f t="shared" si="0"/>
        <v>0.35794911919363931</v>
      </c>
      <c r="J42" s="926">
        <v>173818</v>
      </c>
      <c r="K42" s="1107">
        <v>62218</v>
      </c>
      <c r="L42" s="928">
        <v>28500</v>
      </c>
      <c r="M42" s="926">
        <f t="shared" si="1"/>
        <v>83100</v>
      </c>
      <c r="N42" s="929" t="s">
        <v>183</v>
      </c>
      <c r="O42" s="966">
        <v>25.61</v>
      </c>
      <c r="P42" s="963"/>
      <c r="Q42" s="12"/>
      <c r="R42" s="12"/>
      <c r="S42" s="12"/>
      <c r="T42" s="12"/>
      <c r="U42" s="12"/>
      <c r="V42" s="12"/>
      <c r="W42" s="12"/>
    </row>
    <row r="43" spans="1:23" s="43" customFormat="1" ht="58.5" customHeight="1">
      <c r="A43" s="924">
        <v>33</v>
      </c>
      <c r="B43" s="967" t="s">
        <v>472</v>
      </c>
      <c r="C43" s="968" t="s">
        <v>60</v>
      </c>
      <c r="D43" s="923" t="s">
        <v>473</v>
      </c>
      <c r="E43" s="923" t="s">
        <v>29</v>
      </c>
      <c r="F43" s="936" t="s">
        <v>474</v>
      </c>
      <c r="G43" s="934">
        <v>100</v>
      </c>
      <c r="H43" s="937">
        <v>0</v>
      </c>
      <c r="I43" s="927">
        <f t="shared" si="0"/>
        <v>0</v>
      </c>
      <c r="J43" s="943">
        <v>2651777</v>
      </c>
      <c r="K43" s="943">
        <v>0</v>
      </c>
      <c r="L43" s="969">
        <v>1329</v>
      </c>
      <c r="M43" s="926">
        <f t="shared" ref="M43:M74" si="2">J43-K43-L43</f>
        <v>2650448</v>
      </c>
      <c r="N43" s="929" t="s">
        <v>66</v>
      </c>
      <c r="O43" s="928">
        <f>732703912.65/5</f>
        <v>146540782.53</v>
      </c>
      <c r="P43" s="922"/>
      <c r="Q43" s="118"/>
      <c r="R43" s="118"/>
      <c r="S43" s="118"/>
      <c r="T43" s="118"/>
      <c r="U43" s="12"/>
      <c r="V43" s="12"/>
      <c r="W43" s="12"/>
    </row>
    <row r="44" spans="1:23" s="43" customFormat="1" ht="77.25" customHeight="1">
      <c r="A44" s="924">
        <v>34</v>
      </c>
      <c r="B44" s="947" t="s">
        <v>85</v>
      </c>
      <c r="C44" s="944" t="s">
        <v>41</v>
      </c>
      <c r="D44" s="940" t="s">
        <v>448</v>
      </c>
      <c r="E44" s="945" t="s">
        <v>23</v>
      </c>
      <c r="F44" s="942">
        <v>1495</v>
      </c>
      <c r="G44" s="926">
        <v>99</v>
      </c>
      <c r="H44" s="939">
        <v>0</v>
      </c>
      <c r="I44" s="927">
        <f t="shared" si="0"/>
        <v>1.4130171487487811E-2</v>
      </c>
      <c r="J44" s="926">
        <v>644012</v>
      </c>
      <c r="K44" s="959">
        <v>9100</v>
      </c>
      <c r="L44" s="926">
        <v>169</v>
      </c>
      <c r="M44" s="926">
        <f t="shared" si="2"/>
        <v>634743</v>
      </c>
      <c r="N44" s="929">
        <v>2026</v>
      </c>
      <c r="O44" s="928">
        <v>177318</v>
      </c>
      <c r="P44" s="1066" t="s">
        <v>459</v>
      </c>
      <c r="Q44" s="12"/>
      <c r="R44" s="12"/>
      <c r="S44" s="12"/>
      <c r="T44" s="12"/>
      <c r="U44" s="12"/>
      <c r="V44" s="12"/>
      <c r="W44" s="12"/>
    </row>
    <row r="45" spans="1:23" s="43" customFormat="1" ht="98.25" customHeight="1">
      <c r="A45" s="924">
        <v>35</v>
      </c>
      <c r="B45" s="922" t="s">
        <v>134</v>
      </c>
      <c r="C45" s="930" t="s">
        <v>41</v>
      </c>
      <c r="D45" s="931" t="s">
        <v>367</v>
      </c>
      <c r="E45" s="923" t="s">
        <v>23</v>
      </c>
      <c r="F45" s="936">
        <v>1468</v>
      </c>
      <c r="G45" s="934">
        <v>99</v>
      </c>
      <c r="H45" s="939">
        <v>0</v>
      </c>
      <c r="I45" s="935">
        <f t="shared" si="0"/>
        <v>3.0804871816710672E-2</v>
      </c>
      <c r="J45" s="926">
        <v>293525</v>
      </c>
      <c r="K45" s="926">
        <v>9042</v>
      </c>
      <c r="L45" s="926">
        <v>0</v>
      </c>
      <c r="M45" s="926">
        <f t="shared" si="2"/>
        <v>284483</v>
      </c>
      <c r="N45" s="929" t="s">
        <v>183</v>
      </c>
      <c r="O45" s="928">
        <f>1148770086/5</f>
        <v>229754017.19999999</v>
      </c>
      <c r="P45" s="963" t="s">
        <v>475</v>
      </c>
      <c r="Q45" s="652"/>
      <c r="R45" s="653"/>
      <c r="S45" s="654"/>
      <c r="T45" s="655"/>
      <c r="U45" s="12"/>
      <c r="V45" s="12"/>
      <c r="W45" s="12"/>
    </row>
    <row r="46" spans="1:23" s="43" customFormat="1" ht="79.5" customHeight="1">
      <c r="A46" s="924">
        <v>36</v>
      </c>
      <c r="B46" s="947" t="s">
        <v>50</v>
      </c>
      <c r="C46" s="930" t="s">
        <v>41</v>
      </c>
      <c r="D46" s="931" t="s">
        <v>367</v>
      </c>
      <c r="E46" s="923" t="s">
        <v>23</v>
      </c>
      <c r="F46" s="936">
        <v>1561</v>
      </c>
      <c r="G46" s="934">
        <v>99</v>
      </c>
      <c r="H46" s="939">
        <v>0</v>
      </c>
      <c r="I46" s="927">
        <f t="shared" si="0"/>
        <v>2.5332014269868392E-3</v>
      </c>
      <c r="J46" s="926">
        <v>200142</v>
      </c>
      <c r="K46" s="926">
        <v>507</v>
      </c>
      <c r="L46" s="926">
        <v>20006</v>
      </c>
      <c r="M46" s="926">
        <f t="shared" si="2"/>
        <v>179629</v>
      </c>
      <c r="N46" s="929" t="s">
        <v>66</v>
      </c>
      <c r="O46" s="928">
        <v>47377743</v>
      </c>
      <c r="P46" s="963" t="s">
        <v>476</v>
      </c>
      <c r="Q46" s="651"/>
      <c r="R46" s="651"/>
      <c r="S46" s="651"/>
      <c r="T46" s="651"/>
      <c r="U46" s="12"/>
      <c r="V46" s="12"/>
      <c r="W46" s="12"/>
    </row>
    <row r="47" spans="1:23" s="118" customFormat="1" ht="126.75" customHeight="1">
      <c r="A47" s="924">
        <v>37</v>
      </c>
      <c r="B47" s="970" t="s">
        <v>477</v>
      </c>
      <c r="C47" s="930" t="s">
        <v>41</v>
      </c>
      <c r="D47" s="931" t="s">
        <v>468</v>
      </c>
      <c r="E47" s="971" t="s">
        <v>29</v>
      </c>
      <c r="F47" s="933">
        <v>1611</v>
      </c>
      <c r="G47" s="926">
        <v>98</v>
      </c>
      <c r="H47" s="927">
        <v>0</v>
      </c>
      <c r="I47" s="927">
        <f t="shared" si="0"/>
        <v>0</v>
      </c>
      <c r="J47" s="943">
        <v>2160662</v>
      </c>
      <c r="K47" s="943">
        <v>0</v>
      </c>
      <c r="L47" s="943">
        <v>68</v>
      </c>
      <c r="M47" s="926">
        <f t="shared" si="2"/>
        <v>2160594</v>
      </c>
      <c r="N47" s="929" t="s">
        <v>183</v>
      </c>
      <c r="O47" s="928">
        <v>101145133</v>
      </c>
      <c r="P47" s="972" t="s">
        <v>478</v>
      </c>
      <c r="Q47" s="12"/>
      <c r="R47" s="12"/>
      <c r="S47" s="12"/>
      <c r="T47" s="12"/>
    </row>
    <row r="48" spans="1:23" s="118" customFormat="1" ht="69" customHeight="1">
      <c r="A48" s="924">
        <v>38</v>
      </c>
      <c r="B48" s="970" t="s">
        <v>479</v>
      </c>
      <c r="C48" s="930" t="s">
        <v>41</v>
      </c>
      <c r="D48" s="931" t="s">
        <v>468</v>
      </c>
      <c r="E48" s="971" t="s">
        <v>29</v>
      </c>
      <c r="F48" s="933">
        <v>1589</v>
      </c>
      <c r="G48" s="926">
        <v>98</v>
      </c>
      <c r="H48" s="927">
        <v>0</v>
      </c>
      <c r="I48" s="927">
        <f t="shared" si="0"/>
        <v>0</v>
      </c>
      <c r="J48" s="943">
        <v>2891566</v>
      </c>
      <c r="K48" s="943">
        <v>0</v>
      </c>
      <c r="L48" s="943">
        <v>12500</v>
      </c>
      <c r="M48" s="926">
        <f t="shared" si="2"/>
        <v>2879066</v>
      </c>
      <c r="N48" s="929" t="s">
        <v>183</v>
      </c>
      <c r="O48" s="928">
        <v>454229463</v>
      </c>
      <c r="P48" s="972" t="s">
        <v>480</v>
      </c>
      <c r="Q48" s="12"/>
      <c r="R48" s="12"/>
      <c r="S48" s="12"/>
      <c r="T48" s="12"/>
    </row>
    <row r="49" spans="1:23" s="118" customFormat="1" ht="48" customHeight="1">
      <c r="A49" s="924">
        <v>39</v>
      </c>
      <c r="B49" s="970" t="s">
        <v>481</v>
      </c>
      <c r="C49" s="930" t="s">
        <v>41</v>
      </c>
      <c r="D49" s="931" t="s">
        <v>448</v>
      </c>
      <c r="E49" s="971" t="s">
        <v>29</v>
      </c>
      <c r="F49" s="933" t="s">
        <v>92</v>
      </c>
      <c r="G49" s="926">
        <v>98</v>
      </c>
      <c r="H49" s="927">
        <v>0</v>
      </c>
      <c r="I49" s="927">
        <f t="shared" si="0"/>
        <v>0</v>
      </c>
      <c r="J49" s="943">
        <v>2278939</v>
      </c>
      <c r="K49" s="943">
        <v>0</v>
      </c>
      <c r="L49" s="943">
        <v>0</v>
      </c>
      <c r="M49" s="926">
        <f t="shared" si="2"/>
        <v>2278939</v>
      </c>
      <c r="N49" s="929" t="s">
        <v>66</v>
      </c>
      <c r="O49" s="928">
        <f>107880092/5</f>
        <v>21576018.399999999</v>
      </c>
      <c r="P49" s="972"/>
      <c r="Q49" s="12"/>
      <c r="R49" s="12"/>
      <c r="S49" s="12"/>
      <c r="T49" s="12"/>
    </row>
    <row r="50" spans="1:23" s="43" customFormat="1" ht="50.25" customHeight="1">
      <c r="A50" s="924">
        <v>40</v>
      </c>
      <c r="B50" s="970" t="s">
        <v>482</v>
      </c>
      <c r="C50" s="930" t="s">
        <v>41</v>
      </c>
      <c r="D50" s="931" t="s">
        <v>448</v>
      </c>
      <c r="E50" s="971" t="s">
        <v>29</v>
      </c>
      <c r="F50" s="933" t="s">
        <v>92</v>
      </c>
      <c r="G50" s="926">
        <v>98</v>
      </c>
      <c r="H50" s="927">
        <v>0</v>
      </c>
      <c r="I50" s="927">
        <f t="shared" si="0"/>
        <v>0</v>
      </c>
      <c r="J50" s="943">
        <v>201286</v>
      </c>
      <c r="K50" s="943">
        <v>0</v>
      </c>
      <c r="L50" s="943">
        <v>0</v>
      </c>
      <c r="M50" s="926">
        <f t="shared" si="2"/>
        <v>201286</v>
      </c>
      <c r="N50" s="929" t="s">
        <v>66</v>
      </c>
      <c r="O50" s="928">
        <f>130170/5</f>
        <v>26034</v>
      </c>
      <c r="P50" s="972"/>
      <c r="Q50" s="12"/>
      <c r="R50" s="12"/>
      <c r="S50" s="12"/>
      <c r="T50" s="12"/>
      <c r="U50" s="12"/>
      <c r="V50" s="12"/>
      <c r="W50" s="12"/>
    </row>
    <row r="51" spans="1:23" s="43" customFormat="1" ht="77.25" customHeight="1">
      <c r="A51" s="924">
        <v>41</v>
      </c>
      <c r="B51" s="970" t="s">
        <v>483</v>
      </c>
      <c r="C51" s="930" t="s">
        <v>41</v>
      </c>
      <c r="D51" s="931" t="s">
        <v>468</v>
      </c>
      <c r="E51" s="932" t="s">
        <v>23</v>
      </c>
      <c r="F51" s="933">
        <v>1516</v>
      </c>
      <c r="G51" s="926">
        <v>98</v>
      </c>
      <c r="H51" s="927">
        <v>0</v>
      </c>
      <c r="I51" s="927">
        <f t="shared" si="0"/>
        <v>0</v>
      </c>
      <c r="J51" s="943">
        <v>20102856</v>
      </c>
      <c r="K51" s="943">
        <v>0</v>
      </c>
      <c r="L51" s="943">
        <v>0</v>
      </c>
      <c r="M51" s="926">
        <f t="shared" si="2"/>
        <v>20102856</v>
      </c>
      <c r="N51" s="929" t="s">
        <v>484</v>
      </c>
      <c r="O51" s="973">
        <f>1072023026</f>
        <v>1072023026</v>
      </c>
      <c r="P51" s="972" t="s">
        <v>485</v>
      </c>
      <c r="Q51" s="12"/>
      <c r="R51" s="12"/>
      <c r="S51" s="12"/>
      <c r="T51" s="12"/>
      <c r="U51" s="12"/>
      <c r="V51" s="12"/>
      <c r="W51" s="12"/>
    </row>
    <row r="52" spans="1:23" s="43" customFormat="1" ht="41.25" customHeight="1">
      <c r="A52" s="924">
        <v>42</v>
      </c>
      <c r="B52" s="953" t="s">
        <v>486</v>
      </c>
      <c r="C52" s="930" t="s">
        <v>41</v>
      </c>
      <c r="D52" s="931" t="s">
        <v>468</v>
      </c>
      <c r="E52" s="932" t="s">
        <v>23</v>
      </c>
      <c r="F52" s="933">
        <v>1517</v>
      </c>
      <c r="G52" s="926">
        <v>98</v>
      </c>
      <c r="H52" s="927">
        <v>0</v>
      </c>
      <c r="I52" s="935">
        <f t="shared" si="0"/>
        <v>7.8535116549772706E-4</v>
      </c>
      <c r="J52" s="943">
        <v>5355566</v>
      </c>
      <c r="K52" s="943">
        <v>4206</v>
      </c>
      <c r="L52" s="943">
        <v>25000</v>
      </c>
      <c r="M52" s="926">
        <f t="shared" si="2"/>
        <v>5326360</v>
      </c>
      <c r="N52" s="929" t="s">
        <v>66</v>
      </c>
      <c r="O52" s="928">
        <v>1367896665</v>
      </c>
      <c r="P52" s="972" t="s">
        <v>487</v>
      </c>
      <c r="Q52" s="12"/>
      <c r="R52" s="12"/>
      <c r="S52" s="12"/>
      <c r="T52" s="12"/>
      <c r="U52" s="12"/>
      <c r="V52" s="12"/>
      <c r="W52" s="12"/>
    </row>
    <row r="53" spans="1:23" s="43" customFormat="1" ht="55.5" customHeight="1">
      <c r="A53" s="924">
        <v>43</v>
      </c>
      <c r="B53" s="970" t="s">
        <v>488</v>
      </c>
      <c r="C53" s="930" t="s">
        <v>41</v>
      </c>
      <c r="D53" s="931" t="s">
        <v>367</v>
      </c>
      <c r="E53" s="971" t="s">
        <v>29</v>
      </c>
      <c r="F53" s="933">
        <v>1567</v>
      </c>
      <c r="G53" s="926">
        <v>98</v>
      </c>
      <c r="H53" s="927">
        <v>0</v>
      </c>
      <c r="I53" s="927">
        <f t="shared" si="0"/>
        <v>0</v>
      </c>
      <c r="J53" s="943">
        <v>557674</v>
      </c>
      <c r="K53" s="943">
        <v>0</v>
      </c>
      <c r="L53" s="943">
        <v>0</v>
      </c>
      <c r="M53" s="926">
        <f t="shared" si="2"/>
        <v>557674</v>
      </c>
      <c r="N53" s="929" t="s">
        <v>183</v>
      </c>
      <c r="O53" s="928">
        <f>220593619.18/5</f>
        <v>44118723.836000003</v>
      </c>
      <c r="P53" s="1065"/>
      <c r="Q53" s="12"/>
      <c r="R53" s="12"/>
      <c r="S53" s="12"/>
      <c r="T53" s="12"/>
      <c r="U53" s="12"/>
      <c r="V53" s="12"/>
      <c r="W53" s="12"/>
    </row>
    <row r="54" spans="1:23" s="43" customFormat="1" ht="62.25" customHeight="1">
      <c r="A54" s="924">
        <v>44</v>
      </c>
      <c r="B54" s="922" t="s">
        <v>155</v>
      </c>
      <c r="C54" s="930" t="s">
        <v>41</v>
      </c>
      <c r="D54" s="940" t="s">
        <v>448</v>
      </c>
      <c r="E54" s="923" t="s">
        <v>23</v>
      </c>
      <c r="F54" s="936">
        <v>1306</v>
      </c>
      <c r="G54" s="934">
        <v>98</v>
      </c>
      <c r="H54" s="939">
        <v>0.87670000000000003</v>
      </c>
      <c r="I54" s="935">
        <f t="shared" si="0"/>
        <v>0.66278245076789488</v>
      </c>
      <c r="J54" s="974">
        <v>150867</v>
      </c>
      <c r="K54" s="926">
        <v>99992</v>
      </c>
      <c r="L54" s="926">
        <v>1438</v>
      </c>
      <c r="M54" s="926">
        <f t="shared" si="2"/>
        <v>49437</v>
      </c>
      <c r="N54" s="929" t="s">
        <v>489</v>
      </c>
      <c r="O54" s="928">
        <f>16377854</f>
        <v>16377854</v>
      </c>
      <c r="P54" s="972" t="s">
        <v>490</v>
      </c>
      <c r="Q54" s="12"/>
      <c r="R54" s="12"/>
      <c r="S54" s="12"/>
      <c r="T54" s="12"/>
      <c r="U54" s="12"/>
      <c r="V54" s="12"/>
      <c r="W54" s="12"/>
    </row>
    <row r="55" spans="1:23" s="43" customFormat="1">
      <c r="A55" s="924">
        <v>45</v>
      </c>
      <c r="B55" s="923" t="s">
        <v>96</v>
      </c>
      <c r="C55" s="944" t="s">
        <v>41</v>
      </c>
      <c r="D55" s="931" t="s">
        <v>448</v>
      </c>
      <c r="E55" s="975" t="s">
        <v>29</v>
      </c>
      <c r="F55" s="948">
        <v>1617</v>
      </c>
      <c r="G55" s="926">
        <v>98</v>
      </c>
      <c r="H55" s="939">
        <v>0</v>
      </c>
      <c r="I55" s="927">
        <f t="shared" si="0"/>
        <v>0</v>
      </c>
      <c r="J55" s="928">
        <v>198215</v>
      </c>
      <c r="K55" s="926">
        <v>0</v>
      </c>
      <c r="L55" s="926">
        <v>0</v>
      </c>
      <c r="M55" s="926">
        <f t="shared" si="2"/>
        <v>198215</v>
      </c>
      <c r="N55" s="929">
        <v>2025</v>
      </c>
      <c r="O55" s="928">
        <v>66779652.329999998</v>
      </c>
      <c r="P55" s="963" t="s">
        <v>491</v>
      </c>
      <c r="Q55" s="12"/>
      <c r="R55" s="12"/>
      <c r="S55" s="12"/>
      <c r="T55" s="12"/>
      <c r="U55" s="12"/>
      <c r="V55" s="12"/>
      <c r="W55" s="12"/>
    </row>
    <row r="56" spans="1:23" s="43" customFormat="1">
      <c r="A56" s="924">
        <v>46</v>
      </c>
      <c r="B56" s="947" t="s">
        <v>492</v>
      </c>
      <c r="C56" s="930" t="s">
        <v>41</v>
      </c>
      <c r="D56" s="931" t="s">
        <v>448</v>
      </c>
      <c r="E56" s="975" t="s">
        <v>29</v>
      </c>
      <c r="F56" s="936">
        <v>1605</v>
      </c>
      <c r="G56" s="934">
        <v>98</v>
      </c>
      <c r="H56" s="939">
        <v>0</v>
      </c>
      <c r="I56" s="927">
        <v>0</v>
      </c>
      <c r="J56" s="926">
        <v>5744823</v>
      </c>
      <c r="K56" s="926">
        <v>0</v>
      </c>
      <c r="L56" s="926">
        <v>0</v>
      </c>
      <c r="M56" s="926">
        <f t="shared" si="2"/>
        <v>5744823</v>
      </c>
      <c r="N56" s="929" t="s">
        <v>66</v>
      </c>
      <c r="O56" s="928">
        <v>41570000</v>
      </c>
      <c r="P56" s="1005"/>
      <c r="Q56" s="12"/>
      <c r="R56" s="12"/>
      <c r="S56" s="12"/>
      <c r="T56" s="12"/>
      <c r="U56" s="12"/>
      <c r="V56" s="12"/>
      <c r="W56" s="12"/>
    </row>
    <row r="57" spans="1:23" s="43" customFormat="1" ht="66" customHeight="1">
      <c r="A57" s="924">
        <v>47</v>
      </c>
      <c r="B57" s="947" t="s">
        <v>98</v>
      </c>
      <c r="C57" s="944" t="s">
        <v>41</v>
      </c>
      <c r="D57" s="931" t="s">
        <v>448</v>
      </c>
      <c r="E57" s="923" t="s">
        <v>23</v>
      </c>
      <c r="F57" s="942">
        <v>1466</v>
      </c>
      <c r="G57" s="926">
        <v>98</v>
      </c>
      <c r="H57" s="939">
        <v>0</v>
      </c>
      <c r="I57" s="927">
        <f t="shared" ref="I57:I81" si="3">K57/J57</f>
        <v>1.1925158310250354E-3</v>
      </c>
      <c r="J57" s="928">
        <v>132493</v>
      </c>
      <c r="K57" s="926">
        <v>158</v>
      </c>
      <c r="L57" s="926">
        <v>0</v>
      </c>
      <c r="M57" s="926">
        <f t="shared" si="2"/>
        <v>132335</v>
      </c>
      <c r="N57" s="929">
        <v>2025</v>
      </c>
      <c r="O57" s="928">
        <f>8621632/4.9</f>
        <v>1759516.7346938774</v>
      </c>
      <c r="P57" s="1066" t="s">
        <v>459</v>
      </c>
      <c r="Q57" s="12"/>
      <c r="R57" s="12"/>
      <c r="S57" s="12"/>
      <c r="T57" s="12"/>
      <c r="U57" s="12"/>
      <c r="V57" s="12"/>
      <c r="W57" s="12"/>
    </row>
    <row r="58" spans="1:23" s="43" customFormat="1" ht="77.25" customHeight="1">
      <c r="A58" s="924">
        <v>48</v>
      </c>
      <c r="B58" s="947" t="s">
        <v>318</v>
      </c>
      <c r="C58" s="930" t="s">
        <v>41</v>
      </c>
      <c r="D58" s="931" t="s">
        <v>448</v>
      </c>
      <c r="E58" s="923" t="s">
        <v>23</v>
      </c>
      <c r="F58" s="936">
        <v>383</v>
      </c>
      <c r="G58" s="934">
        <v>98</v>
      </c>
      <c r="H58" s="939">
        <v>7.2999999999999995E-2</v>
      </c>
      <c r="I58" s="935">
        <f t="shared" si="3"/>
        <v>0.36391701774296376</v>
      </c>
      <c r="J58" s="926">
        <v>1962299</v>
      </c>
      <c r="K58" s="926">
        <v>714114</v>
      </c>
      <c r="L58" s="926">
        <v>41712</v>
      </c>
      <c r="M58" s="926">
        <f t="shared" si="2"/>
        <v>1206473</v>
      </c>
      <c r="N58" s="929" t="s">
        <v>493</v>
      </c>
      <c r="O58" s="976">
        <v>29.23</v>
      </c>
      <c r="P58" s="1005"/>
      <c r="Q58" s="12"/>
      <c r="R58" s="12"/>
      <c r="S58" s="12"/>
      <c r="T58" s="12"/>
      <c r="U58" s="12"/>
      <c r="V58" s="12"/>
      <c r="W58" s="12"/>
    </row>
    <row r="59" spans="1:23" s="43" customFormat="1" ht="54" customHeight="1">
      <c r="A59" s="924">
        <v>49</v>
      </c>
      <c r="B59" s="947" t="s">
        <v>86</v>
      </c>
      <c r="C59" s="944" t="s">
        <v>41</v>
      </c>
      <c r="D59" s="931" t="s">
        <v>448</v>
      </c>
      <c r="E59" s="923" t="s">
        <v>23</v>
      </c>
      <c r="F59" s="942">
        <v>1486</v>
      </c>
      <c r="G59" s="926">
        <v>98</v>
      </c>
      <c r="H59" s="939">
        <v>0</v>
      </c>
      <c r="I59" s="927">
        <f t="shared" si="3"/>
        <v>1.8837648451347007E-3</v>
      </c>
      <c r="J59" s="926">
        <v>655602</v>
      </c>
      <c r="K59" s="926">
        <v>1235</v>
      </c>
      <c r="L59" s="926">
        <v>6105</v>
      </c>
      <c r="M59" s="926">
        <f t="shared" si="2"/>
        <v>648262</v>
      </c>
      <c r="N59" s="929" t="s">
        <v>24</v>
      </c>
      <c r="O59" s="928">
        <f>568924836.58/5</f>
        <v>113784967.31600001</v>
      </c>
      <c r="P59" s="1066" t="s">
        <v>457</v>
      </c>
      <c r="Q59" s="12"/>
      <c r="R59" s="12"/>
      <c r="S59" s="12"/>
      <c r="T59" s="12"/>
      <c r="U59" s="12"/>
      <c r="V59" s="12"/>
      <c r="W59" s="12"/>
    </row>
    <row r="60" spans="1:23" s="43" customFormat="1" ht="31.5" customHeight="1">
      <c r="A60" s="924">
        <v>50</v>
      </c>
      <c r="B60" s="970" t="s">
        <v>494</v>
      </c>
      <c r="C60" s="930" t="s">
        <v>41</v>
      </c>
      <c r="D60" s="931" t="s">
        <v>448</v>
      </c>
      <c r="E60" s="971" t="s">
        <v>29</v>
      </c>
      <c r="F60" s="933" t="s">
        <v>92</v>
      </c>
      <c r="G60" s="926">
        <v>97</v>
      </c>
      <c r="H60" s="927">
        <v>0</v>
      </c>
      <c r="I60" s="927">
        <f t="shared" si="3"/>
        <v>0</v>
      </c>
      <c r="J60" s="943">
        <v>146681</v>
      </c>
      <c r="K60" s="943">
        <v>0</v>
      </c>
      <c r="L60" s="943">
        <v>0</v>
      </c>
      <c r="M60" s="926">
        <f t="shared" si="2"/>
        <v>146681</v>
      </c>
      <c r="N60" s="929" t="s">
        <v>66</v>
      </c>
      <c r="O60" s="928">
        <v>18425966</v>
      </c>
      <c r="P60" s="972"/>
      <c r="Q60" s="12"/>
      <c r="R60" s="12"/>
      <c r="S60" s="12"/>
      <c r="T60" s="12"/>
      <c r="U60" s="12"/>
      <c r="V60" s="12"/>
      <c r="W60" s="12"/>
    </row>
    <row r="61" spans="1:23" s="43" customFormat="1" ht="51" customHeight="1">
      <c r="A61" s="924">
        <v>51</v>
      </c>
      <c r="B61" s="970" t="s">
        <v>495</v>
      </c>
      <c r="C61" s="930" t="s">
        <v>41</v>
      </c>
      <c r="D61" s="931" t="s">
        <v>448</v>
      </c>
      <c r="E61" s="971" t="s">
        <v>29</v>
      </c>
      <c r="F61" s="933" t="s">
        <v>92</v>
      </c>
      <c r="G61" s="926">
        <v>97</v>
      </c>
      <c r="H61" s="927">
        <v>0</v>
      </c>
      <c r="I61" s="927">
        <f t="shared" si="3"/>
        <v>0</v>
      </c>
      <c r="J61" s="943">
        <v>16536765</v>
      </c>
      <c r="K61" s="943">
        <v>0</v>
      </c>
      <c r="L61" s="943">
        <v>0</v>
      </c>
      <c r="M61" s="926">
        <f t="shared" si="2"/>
        <v>16536765</v>
      </c>
      <c r="N61" s="929" t="s">
        <v>183</v>
      </c>
      <c r="O61" s="928">
        <v>961540916</v>
      </c>
      <c r="P61" s="972"/>
      <c r="Q61" s="12"/>
      <c r="R61" s="12"/>
      <c r="S61" s="12"/>
      <c r="T61" s="12"/>
      <c r="U61" s="12"/>
      <c r="V61" s="12"/>
      <c r="W61" s="12"/>
    </row>
    <row r="62" spans="1:23" s="43" customFormat="1" ht="47.25" customHeight="1">
      <c r="A62" s="924">
        <v>52</v>
      </c>
      <c r="B62" s="970" t="s">
        <v>496</v>
      </c>
      <c r="C62" s="930" t="s">
        <v>41</v>
      </c>
      <c r="D62" s="931" t="s">
        <v>448</v>
      </c>
      <c r="E62" s="971" t="s">
        <v>29</v>
      </c>
      <c r="F62" s="933" t="s">
        <v>92</v>
      </c>
      <c r="G62" s="926">
        <v>97</v>
      </c>
      <c r="H62" s="927">
        <v>0</v>
      </c>
      <c r="I62" s="927">
        <f t="shared" si="3"/>
        <v>0</v>
      </c>
      <c r="J62" s="943">
        <v>9244635</v>
      </c>
      <c r="K62" s="943">
        <v>0</v>
      </c>
      <c r="L62" s="943">
        <v>0</v>
      </c>
      <c r="M62" s="926">
        <f t="shared" si="2"/>
        <v>9244635</v>
      </c>
      <c r="N62" s="929" t="s">
        <v>183</v>
      </c>
      <c r="O62" s="928">
        <v>43563362</v>
      </c>
      <c r="P62" s="972"/>
      <c r="Q62" s="12"/>
      <c r="R62" s="12"/>
      <c r="S62" s="12"/>
      <c r="T62" s="12"/>
      <c r="U62" s="12"/>
      <c r="V62" s="12"/>
      <c r="W62" s="12"/>
    </row>
    <row r="63" spans="1:23" s="43" customFormat="1" ht="90" customHeight="1">
      <c r="A63" s="924">
        <v>53</v>
      </c>
      <c r="B63" s="947" t="s">
        <v>78</v>
      </c>
      <c r="C63" s="944" t="s">
        <v>41</v>
      </c>
      <c r="D63" s="931" t="s">
        <v>448</v>
      </c>
      <c r="E63" s="923" t="s">
        <v>23</v>
      </c>
      <c r="F63" s="942">
        <v>1447</v>
      </c>
      <c r="G63" s="974">
        <v>97</v>
      </c>
      <c r="H63" s="939">
        <v>0.09</v>
      </c>
      <c r="I63" s="935">
        <f t="shared" si="3"/>
        <v>1.229450154321195E-2</v>
      </c>
      <c r="J63" s="926">
        <v>7442270</v>
      </c>
      <c r="K63" s="926">
        <v>91499</v>
      </c>
      <c r="L63" s="926">
        <v>704571</v>
      </c>
      <c r="M63" s="926">
        <f t="shared" si="2"/>
        <v>6646200</v>
      </c>
      <c r="N63" s="929" t="s">
        <v>497</v>
      </c>
      <c r="O63" s="928">
        <v>735574</v>
      </c>
      <c r="P63" s="1005"/>
      <c r="Q63" s="12"/>
      <c r="R63" s="12"/>
      <c r="S63" s="12"/>
      <c r="T63" s="12"/>
      <c r="U63" s="12"/>
      <c r="V63" s="12"/>
      <c r="W63" s="12"/>
    </row>
    <row r="64" spans="1:23" s="43" customFormat="1" ht="88.5" customHeight="1">
      <c r="A64" s="924">
        <v>54</v>
      </c>
      <c r="B64" s="922" t="s">
        <v>88</v>
      </c>
      <c r="C64" s="944" t="s">
        <v>41</v>
      </c>
      <c r="D64" s="931" t="s">
        <v>448</v>
      </c>
      <c r="E64" s="923" t="s">
        <v>23</v>
      </c>
      <c r="F64" s="936">
        <v>1521</v>
      </c>
      <c r="G64" s="926">
        <v>97</v>
      </c>
      <c r="H64" s="939">
        <v>0</v>
      </c>
      <c r="I64" s="935">
        <f t="shared" si="3"/>
        <v>3.8171628960121111E-3</v>
      </c>
      <c r="J64" s="926">
        <v>3640924</v>
      </c>
      <c r="K64" s="926">
        <v>13898</v>
      </c>
      <c r="L64" s="1103">
        <v>0</v>
      </c>
      <c r="M64" s="926">
        <f t="shared" si="2"/>
        <v>3627026</v>
      </c>
      <c r="N64" s="929" t="s">
        <v>498</v>
      </c>
      <c r="O64" s="928">
        <f>409074.979*1000</f>
        <v>409074979</v>
      </c>
      <c r="P64" s="1005"/>
      <c r="Q64" s="649"/>
      <c r="R64" s="649"/>
      <c r="S64" s="649"/>
      <c r="T64" s="649"/>
      <c r="U64" s="12"/>
      <c r="V64" s="12"/>
      <c r="W64" s="12"/>
    </row>
    <row r="65" spans="1:23" s="43" customFormat="1" ht="56.25" customHeight="1">
      <c r="A65" s="924">
        <v>55</v>
      </c>
      <c r="B65" s="953" t="s">
        <v>184</v>
      </c>
      <c r="C65" s="946" t="s">
        <v>41</v>
      </c>
      <c r="D65" s="940" t="s">
        <v>367</v>
      </c>
      <c r="E65" s="923" t="s">
        <v>23</v>
      </c>
      <c r="F65" s="936">
        <v>1362</v>
      </c>
      <c r="G65" s="934">
        <v>97</v>
      </c>
      <c r="H65" s="939">
        <v>0.13769999999999999</v>
      </c>
      <c r="I65" s="935">
        <f t="shared" si="3"/>
        <v>8.7167693406173724E-2</v>
      </c>
      <c r="J65" s="926">
        <v>120446</v>
      </c>
      <c r="K65" s="926">
        <v>10499</v>
      </c>
      <c r="L65" s="926">
        <v>0</v>
      </c>
      <c r="M65" s="926">
        <f t="shared" si="2"/>
        <v>109947</v>
      </c>
      <c r="N65" s="929" t="s">
        <v>74</v>
      </c>
      <c r="O65" s="928">
        <f>3395997</f>
        <v>3395997</v>
      </c>
      <c r="P65" s="1005"/>
      <c r="Q65" s="651"/>
      <c r="R65" s="651"/>
      <c r="S65" s="651"/>
      <c r="T65" s="651"/>
      <c r="U65" s="12"/>
      <c r="V65" s="12"/>
      <c r="W65" s="12"/>
    </row>
    <row r="66" spans="1:23" s="43" customFormat="1" ht="77.25" customHeight="1">
      <c r="A66" s="924">
        <v>56</v>
      </c>
      <c r="B66" s="970" t="s">
        <v>499</v>
      </c>
      <c r="C66" s="930" t="s">
        <v>41</v>
      </c>
      <c r="D66" s="931" t="s">
        <v>448</v>
      </c>
      <c r="E66" s="971" t="s">
        <v>29</v>
      </c>
      <c r="F66" s="933" t="s">
        <v>92</v>
      </c>
      <c r="G66" s="926">
        <v>96</v>
      </c>
      <c r="H66" s="927">
        <v>0</v>
      </c>
      <c r="I66" s="927">
        <f t="shared" si="3"/>
        <v>0</v>
      </c>
      <c r="J66" s="943">
        <v>2698841</v>
      </c>
      <c r="K66" s="943">
        <v>0</v>
      </c>
      <c r="L66" s="943">
        <v>0</v>
      </c>
      <c r="M66" s="926">
        <f t="shared" si="2"/>
        <v>2698841</v>
      </c>
      <c r="N66" s="929" t="s">
        <v>183</v>
      </c>
      <c r="O66" s="928">
        <f>7802705/5</f>
        <v>1560541</v>
      </c>
      <c r="P66" s="972"/>
      <c r="Q66" s="12"/>
      <c r="R66" s="12"/>
      <c r="S66" s="12"/>
      <c r="T66" s="12"/>
      <c r="U66" s="12"/>
      <c r="V66" s="12"/>
      <c r="W66" s="12"/>
    </row>
    <row r="67" spans="1:23" s="43" customFormat="1" ht="77.25" customHeight="1">
      <c r="A67" s="924">
        <v>57</v>
      </c>
      <c r="B67" s="977" t="s">
        <v>253</v>
      </c>
      <c r="C67" s="930" t="s">
        <v>41</v>
      </c>
      <c r="D67" s="931" t="s">
        <v>367</v>
      </c>
      <c r="E67" s="978" t="s">
        <v>23</v>
      </c>
      <c r="F67" s="1094" t="s">
        <v>254</v>
      </c>
      <c r="G67" s="926">
        <v>95</v>
      </c>
      <c r="H67" s="927">
        <v>0.15759999999999999</v>
      </c>
      <c r="I67" s="927">
        <f t="shared" si="3"/>
        <v>6.1232946661783146E-2</v>
      </c>
      <c r="J67" s="943">
        <v>374047</v>
      </c>
      <c r="K67" s="943">
        <v>22904</v>
      </c>
      <c r="L67" s="943">
        <v>0</v>
      </c>
      <c r="M67" s="926">
        <f t="shared" si="2"/>
        <v>351143</v>
      </c>
      <c r="N67" s="929">
        <v>2029</v>
      </c>
      <c r="O67" s="938">
        <v>82740000</v>
      </c>
      <c r="P67" s="1005"/>
      <c r="Q67" s="12"/>
      <c r="R67" s="12"/>
      <c r="S67" s="12"/>
      <c r="T67" s="12"/>
      <c r="U67" s="12"/>
      <c r="V67" s="12"/>
      <c r="W67" s="12"/>
    </row>
    <row r="68" spans="1:23" s="43" customFormat="1" ht="77.25" customHeight="1">
      <c r="A68" s="924">
        <v>58</v>
      </c>
      <c r="B68" s="979" t="s">
        <v>26</v>
      </c>
      <c r="C68" s="979" t="s">
        <v>27</v>
      </c>
      <c r="D68" s="979" t="s">
        <v>28</v>
      </c>
      <c r="E68" s="979" t="s">
        <v>29</v>
      </c>
      <c r="F68" s="980">
        <v>1603</v>
      </c>
      <c r="G68" s="926">
        <v>95</v>
      </c>
      <c r="H68" s="927">
        <v>0</v>
      </c>
      <c r="I68" s="927">
        <f t="shared" si="3"/>
        <v>1.4199991961343866E-3</v>
      </c>
      <c r="J68" s="943">
        <v>2040142</v>
      </c>
      <c r="K68" s="981">
        <v>2897</v>
      </c>
      <c r="L68" s="982">
        <v>472009</v>
      </c>
      <c r="M68" s="926">
        <f t="shared" si="2"/>
        <v>1565236</v>
      </c>
      <c r="N68" s="929" t="s">
        <v>24</v>
      </c>
      <c r="O68" s="981">
        <f>2895144/5</f>
        <v>579028.80000000005</v>
      </c>
      <c r="P68" s="963" t="s">
        <v>500</v>
      </c>
      <c r="Q68" s="649"/>
      <c r="R68" s="649"/>
      <c r="S68" s="649"/>
      <c r="T68" s="649"/>
      <c r="U68" s="12"/>
      <c r="V68" s="12"/>
      <c r="W68" s="12"/>
    </row>
    <row r="69" spans="1:23" s="43" customFormat="1" ht="75" customHeight="1">
      <c r="A69" s="924">
        <v>59</v>
      </c>
      <c r="B69" s="983" t="s">
        <v>501</v>
      </c>
      <c r="C69" s="984" t="s">
        <v>41</v>
      </c>
      <c r="D69" s="985" t="s">
        <v>227</v>
      </c>
      <c r="E69" s="986" t="s">
        <v>23</v>
      </c>
      <c r="F69" s="1092">
        <v>1505</v>
      </c>
      <c r="G69" s="987">
        <v>95</v>
      </c>
      <c r="H69" s="988">
        <v>0</v>
      </c>
      <c r="I69" s="988">
        <f t="shared" si="3"/>
        <v>2.5562654101721396E-3</v>
      </c>
      <c r="J69" s="1108">
        <v>13691849</v>
      </c>
      <c r="K69" s="987">
        <v>35000</v>
      </c>
      <c r="L69" s="1109">
        <v>583183</v>
      </c>
      <c r="M69" s="926">
        <f t="shared" si="2"/>
        <v>13073666</v>
      </c>
      <c r="N69" s="929" t="s">
        <v>484</v>
      </c>
      <c r="O69" s="928">
        <f>1893.3*1000000</f>
        <v>1893300000</v>
      </c>
      <c r="P69" s="1005"/>
      <c r="Q69" s="649"/>
      <c r="R69" s="649"/>
      <c r="S69" s="649"/>
      <c r="T69" s="649"/>
      <c r="U69" s="12"/>
      <c r="V69" s="12"/>
      <c r="W69" s="12"/>
    </row>
    <row r="70" spans="1:23" s="43" customFormat="1" ht="194.25" customHeight="1">
      <c r="A70" s="924">
        <v>60</v>
      </c>
      <c r="B70" s="922" t="s">
        <v>157</v>
      </c>
      <c r="C70" s="989" t="s">
        <v>107</v>
      </c>
      <c r="D70" s="929" t="s">
        <v>158</v>
      </c>
      <c r="E70" s="923" t="s">
        <v>23</v>
      </c>
      <c r="F70" s="948">
        <v>1107</v>
      </c>
      <c r="G70" s="934">
        <v>95</v>
      </c>
      <c r="H70" s="939">
        <v>0.9</v>
      </c>
      <c r="I70" s="927">
        <f t="shared" si="3"/>
        <v>0.48828971102788304</v>
      </c>
      <c r="J70" s="926">
        <v>138041</v>
      </c>
      <c r="K70" s="926">
        <v>67404</v>
      </c>
      <c r="L70" s="926">
        <v>63462</v>
      </c>
      <c r="M70" s="926">
        <f t="shared" si="2"/>
        <v>7175</v>
      </c>
      <c r="N70" s="929" t="s">
        <v>52</v>
      </c>
      <c r="O70" s="928">
        <f>71978.46/5</f>
        <v>14395.692000000001</v>
      </c>
      <c r="P70" s="994" t="s">
        <v>502</v>
      </c>
      <c r="Q70" s="650"/>
      <c r="R70" s="651"/>
      <c r="S70" s="651"/>
      <c r="T70" s="651"/>
      <c r="U70" s="12"/>
      <c r="V70" s="12"/>
      <c r="W70" s="12"/>
    </row>
    <row r="71" spans="1:23" s="43" customFormat="1" ht="87" customHeight="1">
      <c r="A71" s="924">
        <v>61</v>
      </c>
      <c r="B71" s="922" t="s">
        <v>503</v>
      </c>
      <c r="C71" s="930" t="s">
        <v>41</v>
      </c>
      <c r="D71" s="931" t="s">
        <v>367</v>
      </c>
      <c r="E71" s="975" t="s">
        <v>29</v>
      </c>
      <c r="F71" s="1095">
        <v>1571</v>
      </c>
      <c r="G71" s="934">
        <v>95</v>
      </c>
      <c r="H71" s="937">
        <v>0</v>
      </c>
      <c r="I71" s="937">
        <f t="shared" si="3"/>
        <v>0</v>
      </c>
      <c r="J71" s="943">
        <v>1673252</v>
      </c>
      <c r="K71" s="943">
        <v>0</v>
      </c>
      <c r="L71" s="943">
        <v>2000</v>
      </c>
      <c r="M71" s="926">
        <f t="shared" si="2"/>
        <v>1671252</v>
      </c>
      <c r="N71" s="929" t="s">
        <v>284</v>
      </c>
      <c r="O71" s="938">
        <v>12803232</v>
      </c>
      <c r="P71" s="999"/>
      <c r="Q71" s="651"/>
      <c r="R71" s="651"/>
      <c r="S71" s="651"/>
      <c r="T71" s="651"/>
      <c r="U71" s="12"/>
      <c r="V71" s="12"/>
      <c r="W71" s="12"/>
    </row>
    <row r="72" spans="1:23" s="43" customFormat="1" ht="51" customHeight="1">
      <c r="A72" s="924">
        <v>62</v>
      </c>
      <c r="B72" s="953" t="s">
        <v>504</v>
      </c>
      <c r="C72" s="930" t="s">
        <v>41</v>
      </c>
      <c r="D72" s="931" t="s">
        <v>468</v>
      </c>
      <c r="E72" s="932" t="s">
        <v>23</v>
      </c>
      <c r="F72" s="933">
        <v>1515</v>
      </c>
      <c r="G72" s="926">
        <v>94</v>
      </c>
      <c r="H72" s="927">
        <v>0</v>
      </c>
      <c r="I72" s="927">
        <f t="shared" si="3"/>
        <v>0</v>
      </c>
      <c r="J72" s="943">
        <v>631543</v>
      </c>
      <c r="K72" s="943">
        <v>0</v>
      </c>
      <c r="L72" s="943">
        <v>4000</v>
      </c>
      <c r="M72" s="926">
        <f t="shared" si="2"/>
        <v>627543</v>
      </c>
      <c r="N72" s="929" t="s">
        <v>183</v>
      </c>
      <c r="O72" s="928">
        <f>5299834971/5</f>
        <v>1059966994.2</v>
      </c>
      <c r="P72" s="972" t="s">
        <v>487</v>
      </c>
      <c r="Q72" s="12"/>
      <c r="R72" s="12"/>
      <c r="S72" s="12"/>
      <c r="T72" s="12"/>
      <c r="U72" s="12"/>
      <c r="V72" s="12"/>
      <c r="W72" s="12"/>
    </row>
    <row r="73" spans="1:23" s="118" customFormat="1" ht="183.75" customHeight="1">
      <c r="A73" s="924">
        <v>63</v>
      </c>
      <c r="B73" s="960" t="s">
        <v>143</v>
      </c>
      <c r="C73" s="930" t="s">
        <v>41</v>
      </c>
      <c r="D73" s="931" t="s">
        <v>468</v>
      </c>
      <c r="E73" s="945" t="s">
        <v>23</v>
      </c>
      <c r="F73" s="1096">
        <v>1004</v>
      </c>
      <c r="G73" s="934">
        <v>94</v>
      </c>
      <c r="H73" s="927">
        <v>0.99909999999999999</v>
      </c>
      <c r="I73" s="935">
        <f t="shared" si="3"/>
        <v>0.60633662330567395</v>
      </c>
      <c r="J73" s="943">
        <v>4817771</v>
      </c>
      <c r="K73" s="943">
        <v>2921191</v>
      </c>
      <c r="L73" s="943">
        <v>302348</v>
      </c>
      <c r="M73" s="926">
        <f t="shared" si="2"/>
        <v>1594232</v>
      </c>
      <c r="N73" s="929" t="s">
        <v>52</v>
      </c>
      <c r="O73" s="928">
        <f>894374213/5</f>
        <v>178874842.59999999</v>
      </c>
      <c r="P73" s="963" t="s">
        <v>816</v>
      </c>
      <c r="Q73" s="12"/>
      <c r="R73" s="12"/>
      <c r="S73" s="12"/>
      <c r="T73" s="12"/>
    </row>
    <row r="74" spans="1:23" s="118" customFormat="1" ht="178.5" customHeight="1">
      <c r="A74" s="924">
        <v>64</v>
      </c>
      <c r="B74" s="960" t="s">
        <v>145</v>
      </c>
      <c r="C74" s="930" t="s">
        <v>41</v>
      </c>
      <c r="D74" s="931" t="s">
        <v>468</v>
      </c>
      <c r="E74" s="945" t="s">
        <v>23</v>
      </c>
      <c r="F74" s="1096">
        <v>1003</v>
      </c>
      <c r="G74" s="926">
        <v>94</v>
      </c>
      <c r="H74" s="927">
        <v>0.999</v>
      </c>
      <c r="I74" s="935">
        <f t="shared" si="3"/>
        <v>0.88386784323359335</v>
      </c>
      <c r="J74" s="943">
        <v>3415247</v>
      </c>
      <c r="K74" s="943">
        <v>3018627</v>
      </c>
      <c r="L74" s="943">
        <v>27000</v>
      </c>
      <c r="M74" s="926">
        <f t="shared" si="2"/>
        <v>369620</v>
      </c>
      <c r="N74" s="929" t="s">
        <v>52</v>
      </c>
      <c r="O74" s="928">
        <f>374431594/4.9</f>
        <v>76414611.020408154</v>
      </c>
      <c r="P74" s="963" t="s">
        <v>505</v>
      </c>
      <c r="Q74" s="12"/>
      <c r="R74" s="12"/>
      <c r="S74" s="12"/>
      <c r="T74" s="12"/>
    </row>
    <row r="75" spans="1:23" s="43" customFormat="1" ht="67.5" customHeight="1">
      <c r="A75" s="924">
        <v>65</v>
      </c>
      <c r="B75" s="947" t="s">
        <v>246</v>
      </c>
      <c r="C75" s="923" t="s">
        <v>223</v>
      </c>
      <c r="D75" s="929" t="s">
        <v>223</v>
      </c>
      <c r="E75" s="923" t="s">
        <v>23</v>
      </c>
      <c r="F75" s="948">
        <v>1375</v>
      </c>
      <c r="G75" s="934">
        <v>94</v>
      </c>
      <c r="H75" s="939">
        <v>0</v>
      </c>
      <c r="I75" s="927">
        <f t="shared" si="3"/>
        <v>2.209928362724886E-3</v>
      </c>
      <c r="J75" s="926">
        <v>134846</v>
      </c>
      <c r="K75" s="926">
        <v>298</v>
      </c>
      <c r="L75" s="926">
        <v>7802</v>
      </c>
      <c r="M75" s="926">
        <f t="shared" ref="M75:M106" si="4">J75-K75-L75</f>
        <v>126746</v>
      </c>
      <c r="N75" s="929" t="s">
        <v>24</v>
      </c>
      <c r="O75" s="928">
        <f>252149972/5</f>
        <v>50429994.399999999</v>
      </c>
      <c r="P75" s="963"/>
      <c r="Q75" s="649"/>
      <c r="R75" s="649"/>
      <c r="S75" s="649"/>
      <c r="T75" s="649"/>
      <c r="U75" s="12"/>
      <c r="V75" s="12"/>
      <c r="W75" s="12"/>
    </row>
    <row r="76" spans="1:23" s="118" customFormat="1" ht="95.25" customHeight="1">
      <c r="A76" s="924">
        <v>66</v>
      </c>
      <c r="B76" s="990" t="s">
        <v>56</v>
      </c>
      <c r="C76" s="932" t="s">
        <v>57</v>
      </c>
      <c r="D76" s="932" t="s">
        <v>57</v>
      </c>
      <c r="E76" s="932" t="s">
        <v>23</v>
      </c>
      <c r="F76" s="933">
        <v>1031</v>
      </c>
      <c r="G76" s="926">
        <v>94</v>
      </c>
      <c r="H76" s="927">
        <v>0.93899999999999995</v>
      </c>
      <c r="I76" s="927">
        <f t="shared" si="3"/>
        <v>0.96488543650925951</v>
      </c>
      <c r="J76" s="943">
        <v>1739734</v>
      </c>
      <c r="K76" s="943">
        <v>1678644</v>
      </c>
      <c r="L76" s="943">
        <v>5000</v>
      </c>
      <c r="M76" s="926">
        <f t="shared" si="4"/>
        <v>56090</v>
      </c>
      <c r="N76" s="929">
        <v>2026</v>
      </c>
      <c r="O76" s="928">
        <f>117113838</f>
        <v>117113838</v>
      </c>
      <c r="P76" s="963" t="s">
        <v>506</v>
      </c>
      <c r="Q76" s="649"/>
      <c r="R76" s="649"/>
      <c r="S76" s="649"/>
      <c r="T76" s="649"/>
    </row>
    <row r="77" spans="1:23" s="48" customFormat="1" ht="65.25" customHeight="1">
      <c r="A77" s="924">
        <v>67</v>
      </c>
      <c r="B77" s="953" t="s">
        <v>95</v>
      </c>
      <c r="C77" s="944" t="s">
        <v>41</v>
      </c>
      <c r="D77" s="931" t="s">
        <v>448</v>
      </c>
      <c r="E77" s="924" t="s">
        <v>23</v>
      </c>
      <c r="F77" s="1097">
        <v>1523</v>
      </c>
      <c r="G77" s="926">
        <v>94</v>
      </c>
      <c r="H77" s="939">
        <v>0</v>
      </c>
      <c r="I77" s="927">
        <f t="shared" si="3"/>
        <v>0</v>
      </c>
      <c r="J77" s="926">
        <v>7996708</v>
      </c>
      <c r="K77" s="926">
        <v>0</v>
      </c>
      <c r="L77" s="926">
        <v>12050</v>
      </c>
      <c r="M77" s="926">
        <f t="shared" si="4"/>
        <v>7984658</v>
      </c>
      <c r="N77" s="929" t="s">
        <v>24</v>
      </c>
      <c r="O77" s="928">
        <f>5017733.03*1000</f>
        <v>5017733030</v>
      </c>
      <c r="P77" s="1005"/>
      <c r="Q77" s="652"/>
      <c r="R77" s="653"/>
      <c r="S77" s="654"/>
      <c r="T77" s="655"/>
      <c r="U77" s="649"/>
      <c r="V77" s="649"/>
      <c r="W77" s="649"/>
    </row>
    <row r="78" spans="1:23" s="48" customFormat="1" ht="105.75" customHeight="1">
      <c r="A78" s="924">
        <v>68</v>
      </c>
      <c r="B78" s="960" t="s">
        <v>190</v>
      </c>
      <c r="C78" s="930" t="s">
        <v>41</v>
      </c>
      <c r="D78" s="931" t="s">
        <v>468</v>
      </c>
      <c r="E78" s="945" t="s">
        <v>23</v>
      </c>
      <c r="F78" s="942">
        <v>1191</v>
      </c>
      <c r="G78" s="934">
        <v>94</v>
      </c>
      <c r="H78" s="927">
        <v>0.85409999999999997</v>
      </c>
      <c r="I78" s="935">
        <f t="shared" si="3"/>
        <v>0.74578251876507362</v>
      </c>
      <c r="J78" s="943">
        <v>11171419</v>
      </c>
      <c r="K78" s="943">
        <v>8331449</v>
      </c>
      <c r="L78" s="943">
        <v>432505</v>
      </c>
      <c r="M78" s="926">
        <f t="shared" si="4"/>
        <v>2407465</v>
      </c>
      <c r="N78" s="929" t="s">
        <v>74</v>
      </c>
      <c r="O78" s="928">
        <v>2034988000</v>
      </c>
      <c r="P78" s="1005"/>
      <c r="Q78" s="652"/>
      <c r="R78" s="653"/>
      <c r="S78" s="654"/>
      <c r="T78" s="655"/>
      <c r="U78" s="649"/>
      <c r="V78" s="649"/>
      <c r="W78" s="649"/>
    </row>
    <row r="79" spans="1:23" s="48" customFormat="1" ht="94.5" customHeight="1">
      <c r="A79" s="924">
        <v>69</v>
      </c>
      <c r="B79" s="922" t="s">
        <v>293</v>
      </c>
      <c r="C79" s="930" t="s">
        <v>41</v>
      </c>
      <c r="D79" s="931" t="s">
        <v>448</v>
      </c>
      <c r="E79" s="945" t="s">
        <v>23</v>
      </c>
      <c r="F79" s="936">
        <v>372</v>
      </c>
      <c r="G79" s="926">
        <v>94</v>
      </c>
      <c r="H79" s="927">
        <v>0.87</v>
      </c>
      <c r="I79" s="935">
        <f t="shared" si="3"/>
        <v>0.76961363124932047</v>
      </c>
      <c r="J79" s="926">
        <v>3955030</v>
      </c>
      <c r="K79" s="926">
        <v>3043845</v>
      </c>
      <c r="L79" s="926">
        <v>611297</v>
      </c>
      <c r="M79" s="926">
        <f t="shared" si="4"/>
        <v>299888</v>
      </c>
      <c r="N79" s="929" t="s">
        <v>507</v>
      </c>
      <c r="O79" s="938">
        <f>101080*1000</f>
        <v>101080000</v>
      </c>
      <c r="P79" s="1005"/>
      <c r="Q79" s="652"/>
      <c r="R79" s="653"/>
      <c r="S79" s="654"/>
      <c r="T79" s="655"/>
      <c r="U79" s="649"/>
      <c r="V79" s="649"/>
      <c r="W79" s="649"/>
    </row>
    <row r="80" spans="1:23" s="48" customFormat="1" ht="60.75" customHeight="1">
      <c r="A80" s="924">
        <v>70</v>
      </c>
      <c r="B80" s="922" t="s">
        <v>320</v>
      </c>
      <c r="C80" s="930" t="s">
        <v>41</v>
      </c>
      <c r="D80" s="931" t="s">
        <v>448</v>
      </c>
      <c r="E80" s="991" t="s">
        <v>23</v>
      </c>
      <c r="F80" s="936">
        <v>1079</v>
      </c>
      <c r="G80" s="934">
        <v>94</v>
      </c>
      <c r="H80" s="937">
        <v>0.9</v>
      </c>
      <c r="I80" s="937">
        <f t="shared" si="3"/>
        <v>4.8384833199871219E-2</v>
      </c>
      <c r="J80" s="928">
        <v>121133</v>
      </c>
      <c r="K80" s="928">
        <v>5861</v>
      </c>
      <c r="L80" s="928">
        <v>2011</v>
      </c>
      <c r="M80" s="926">
        <f t="shared" si="4"/>
        <v>113261</v>
      </c>
      <c r="N80" s="929">
        <v>2024</v>
      </c>
      <c r="O80" s="938">
        <v>113070000</v>
      </c>
      <c r="P80" s="963" t="s">
        <v>508</v>
      </c>
      <c r="Q80" s="652"/>
      <c r="R80" s="653"/>
      <c r="S80" s="654"/>
      <c r="T80" s="655"/>
      <c r="U80" s="649"/>
      <c r="V80" s="649"/>
      <c r="W80" s="649"/>
    </row>
    <row r="81" spans="1:23" s="48" customFormat="1" ht="58.5" customHeight="1">
      <c r="A81" s="924">
        <v>71</v>
      </c>
      <c r="B81" s="970" t="s">
        <v>509</v>
      </c>
      <c r="C81" s="930" t="s">
        <v>41</v>
      </c>
      <c r="D81" s="931" t="s">
        <v>468</v>
      </c>
      <c r="E81" s="971" t="s">
        <v>29</v>
      </c>
      <c r="F81" s="933">
        <v>1570</v>
      </c>
      <c r="G81" s="926">
        <v>93</v>
      </c>
      <c r="H81" s="927">
        <v>0</v>
      </c>
      <c r="I81" s="927">
        <f t="shared" si="3"/>
        <v>0</v>
      </c>
      <c r="J81" s="943">
        <v>1832614</v>
      </c>
      <c r="K81" s="943">
        <v>0</v>
      </c>
      <c r="L81" s="943">
        <v>12500</v>
      </c>
      <c r="M81" s="926">
        <f t="shared" si="4"/>
        <v>1820114</v>
      </c>
      <c r="N81" s="929" t="s">
        <v>66</v>
      </c>
      <c r="O81" s="928">
        <v>316629222</v>
      </c>
      <c r="P81" s="972" t="s">
        <v>510</v>
      </c>
      <c r="Q81" s="12"/>
      <c r="R81" s="12"/>
      <c r="S81" s="12"/>
      <c r="T81" s="12"/>
      <c r="U81" s="649"/>
      <c r="V81" s="649"/>
      <c r="W81" s="649"/>
    </row>
    <row r="82" spans="1:23" s="48" customFormat="1" ht="69.75" customHeight="1">
      <c r="A82" s="924">
        <v>72</v>
      </c>
      <c r="B82" s="970" t="s">
        <v>511</v>
      </c>
      <c r="C82" s="930" t="s">
        <v>41</v>
      </c>
      <c r="D82" s="931" t="s">
        <v>367</v>
      </c>
      <c r="E82" s="971" t="s">
        <v>29</v>
      </c>
      <c r="F82" s="933">
        <v>1568</v>
      </c>
      <c r="G82" s="926">
        <v>93</v>
      </c>
      <c r="H82" s="927">
        <v>0</v>
      </c>
      <c r="I82" s="927">
        <v>0</v>
      </c>
      <c r="J82" s="943">
        <v>165918</v>
      </c>
      <c r="K82" s="943">
        <v>0</v>
      </c>
      <c r="L82" s="943">
        <v>0</v>
      </c>
      <c r="M82" s="926">
        <f t="shared" si="4"/>
        <v>165918</v>
      </c>
      <c r="N82" s="929" t="s">
        <v>66</v>
      </c>
      <c r="O82" s="928">
        <f>10926318/5</f>
        <v>2185263.6</v>
      </c>
      <c r="P82" s="1065"/>
      <c r="Q82" s="12"/>
      <c r="R82" s="12"/>
      <c r="S82" s="12"/>
      <c r="T82" s="12"/>
      <c r="U82" s="649"/>
      <c r="V82" s="649"/>
      <c r="W82" s="649"/>
    </row>
    <row r="83" spans="1:23" s="48" customFormat="1" ht="127.5" customHeight="1">
      <c r="A83" s="924">
        <v>73</v>
      </c>
      <c r="B83" s="947" t="s">
        <v>106</v>
      </c>
      <c r="C83" s="952" t="s">
        <v>107</v>
      </c>
      <c r="D83" s="992" t="s">
        <v>108</v>
      </c>
      <c r="E83" s="923" t="s">
        <v>23</v>
      </c>
      <c r="F83" s="936">
        <v>1107</v>
      </c>
      <c r="G83" s="934">
        <v>93</v>
      </c>
      <c r="H83" s="939">
        <v>0.93</v>
      </c>
      <c r="I83" s="927">
        <f t="shared" ref="I83:I93" si="5">K83/J83</f>
        <v>0.62829200852182587</v>
      </c>
      <c r="J83" s="926">
        <v>176488</v>
      </c>
      <c r="K83" s="926">
        <v>110886</v>
      </c>
      <c r="L83" s="926">
        <v>59042</v>
      </c>
      <c r="M83" s="926">
        <f t="shared" si="4"/>
        <v>6560</v>
      </c>
      <c r="N83" s="929" t="s">
        <v>74</v>
      </c>
      <c r="O83" s="928">
        <f>176487956.53/5</f>
        <v>35297591.306000002</v>
      </c>
      <c r="P83" s="1011" t="s">
        <v>467</v>
      </c>
      <c r="Q83" s="656"/>
      <c r="R83" s="649"/>
      <c r="S83" s="649"/>
      <c r="T83" s="649"/>
      <c r="U83" s="649"/>
      <c r="V83" s="649"/>
      <c r="W83" s="649"/>
    </row>
    <row r="84" spans="1:23" s="48" customFormat="1" ht="65.25" customHeight="1">
      <c r="A84" s="924">
        <v>74</v>
      </c>
      <c r="B84" s="970" t="s">
        <v>512</v>
      </c>
      <c r="C84" s="930" t="s">
        <v>41</v>
      </c>
      <c r="D84" s="931" t="s">
        <v>448</v>
      </c>
      <c r="E84" s="971" t="s">
        <v>29</v>
      </c>
      <c r="F84" s="933" t="s">
        <v>92</v>
      </c>
      <c r="G84" s="926">
        <v>92</v>
      </c>
      <c r="H84" s="927">
        <v>0</v>
      </c>
      <c r="I84" s="927">
        <f t="shared" si="5"/>
        <v>0</v>
      </c>
      <c r="J84" s="943">
        <v>483860</v>
      </c>
      <c r="K84" s="943">
        <v>0</v>
      </c>
      <c r="L84" s="943">
        <v>0</v>
      </c>
      <c r="M84" s="926">
        <f t="shared" si="4"/>
        <v>483860</v>
      </c>
      <c r="N84" s="929" t="s">
        <v>66</v>
      </c>
      <c r="O84" s="928">
        <v>36096453.390000001</v>
      </c>
      <c r="P84" s="972"/>
      <c r="Q84" s="12"/>
      <c r="R84" s="12"/>
      <c r="S84" s="12"/>
      <c r="T84" s="12"/>
      <c r="U84" s="649"/>
      <c r="V84" s="649"/>
      <c r="W84" s="649"/>
    </row>
    <row r="85" spans="1:23" s="48" customFormat="1" ht="65.25" customHeight="1">
      <c r="A85" s="924">
        <v>75</v>
      </c>
      <c r="B85" s="953" t="s">
        <v>45</v>
      </c>
      <c r="C85" s="944" t="s">
        <v>41</v>
      </c>
      <c r="D85" s="993" t="s">
        <v>46</v>
      </c>
      <c r="E85" s="945" t="s">
        <v>23</v>
      </c>
      <c r="F85" s="948">
        <v>1624</v>
      </c>
      <c r="G85" s="934">
        <v>92</v>
      </c>
      <c r="H85" s="939">
        <v>0.81540000000000001</v>
      </c>
      <c r="I85" s="927">
        <f t="shared" si="5"/>
        <v>0.66329841677736889</v>
      </c>
      <c r="J85" s="994">
        <v>229595</v>
      </c>
      <c r="K85" s="1105">
        <v>152290</v>
      </c>
      <c r="L85" s="1105">
        <v>19174</v>
      </c>
      <c r="M85" s="926">
        <f t="shared" si="4"/>
        <v>58131</v>
      </c>
      <c r="N85" s="929" t="s">
        <v>52</v>
      </c>
      <c r="O85" s="928">
        <f>9831540/4.9</f>
        <v>2006436.7346938774</v>
      </c>
      <c r="P85" s="963"/>
      <c r="Q85" s="649"/>
      <c r="R85" s="649"/>
      <c r="S85" s="649"/>
      <c r="T85" s="649"/>
      <c r="U85" s="649"/>
      <c r="V85" s="649"/>
      <c r="W85" s="649"/>
    </row>
    <row r="86" spans="1:23" s="48" customFormat="1" ht="65.25" customHeight="1">
      <c r="A86" s="924">
        <v>76</v>
      </c>
      <c r="B86" s="922" t="s">
        <v>267</v>
      </c>
      <c r="C86" s="930" t="s">
        <v>41</v>
      </c>
      <c r="D86" s="940" t="s">
        <v>448</v>
      </c>
      <c r="E86" s="923" t="s">
        <v>23</v>
      </c>
      <c r="F86" s="936">
        <v>1288</v>
      </c>
      <c r="G86" s="934">
        <v>92</v>
      </c>
      <c r="H86" s="939">
        <v>0.35</v>
      </c>
      <c r="I86" s="935">
        <f t="shared" si="5"/>
        <v>0.16152182860587933</v>
      </c>
      <c r="J86" s="926">
        <v>345006</v>
      </c>
      <c r="K86" s="926">
        <v>55726</v>
      </c>
      <c r="L86" s="926">
        <v>59103</v>
      </c>
      <c r="M86" s="926">
        <f t="shared" si="4"/>
        <v>230177</v>
      </c>
      <c r="N86" s="929" t="s">
        <v>183</v>
      </c>
      <c r="O86" s="928">
        <v>313728175</v>
      </c>
      <c r="P86" s="972" t="s">
        <v>513</v>
      </c>
      <c r="Q86" s="651"/>
      <c r="R86" s="651"/>
      <c r="S86" s="651"/>
      <c r="T86" s="651"/>
      <c r="U86" s="649"/>
      <c r="V86" s="649"/>
      <c r="W86" s="649"/>
    </row>
    <row r="87" spans="1:23" s="48" customFormat="1" ht="127.5" customHeight="1">
      <c r="A87" s="924">
        <v>77</v>
      </c>
      <c r="B87" s="947" t="s">
        <v>162</v>
      </c>
      <c r="C87" s="989" t="s">
        <v>107</v>
      </c>
      <c r="D87" s="995" t="s">
        <v>514</v>
      </c>
      <c r="E87" s="923" t="s">
        <v>23</v>
      </c>
      <c r="F87" s="936">
        <v>1107</v>
      </c>
      <c r="G87" s="934">
        <v>92</v>
      </c>
      <c r="H87" s="939">
        <v>0.34</v>
      </c>
      <c r="I87" s="927">
        <f t="shared" si="5"/>
        <v>0.18672373868500455</v>
      </c>
      <c r="J87" s="926">
        <v>185263</v>
      </c>
      <c r="K87" s="926">
        <v>34593</v>
      </c>
      <c r="L87" s="926">
        <v>46189</v>
      </c>
      <c r="M87" s="926">
        <f t="shared" si="4"/>
        <v>104481</v>
      </c>
      <c r="N87" s="929" t="s">
        <v>52</v>
      </c>
      <c r="O87" s="928">
        <f>44285.89/5</f>
        <v>8857.1779999999999</v>
      </c>
      <c r="P87" s="994" t="s">
        <v>515</v>
      </c>
      <c r="Q87" s="650"/>
      <c r="R87" s="651"/>
      <c r="S87" s="651"/>
      <c r="T87" s="651"/>
      <c r="U87" s="649"/>
      <c r="V87" s="649"/>
      <c r="W87" s="649"/>
    </row>
    <row r="88" spans="1:23" s="114" customFormat="1" ht="147" customHeight="1">
      <c r="A88" s="924">
        <v>78</v>
      </c>
      <c r="B88" s="947" t="s">
        <v>152</v>
      </c>
      <c r="C88" s="944" t="s">
        <v>107</v>
      </c>
      <c r="D88" s="929" t="s">
        <v>153</v>
      </c>
      <c r="E88" s="923" t="s">
        <v>23</v>
      </c>
      <c r="F88" s="948">
        <v>1107</v>
      </c>
      <c r="G88" s="934">
        <v>92</v>
      </c>
      <c r="H88" s="939">
        <v>0.36</v>
      </c>
      <c r="I88" s="927">
        <f t="shared" si="5"/>
        <v>0.13594623254572286</v>
      </c>
      <c r="J88" s="926">
        <v>404557</v>
      </c>
      <c r="K88" s="926">
        <v>54998</v>
      </c>
      <c r="L88" s="926">
        <v>69743</v>
      </c>
      <c r="M88" s="926">
        <f t="shared" si="4"/>
        <v>279816</v>
      </c>
      <c r="N88" s="929" t="s">
        <v>74</v>
      </c>
      <c r="O88" s="928">
        <f>472726858.16/5</f>
        <v>94545371.631999999</v>
      </c>
      <c r="P88" s="994" t="s">
        <v>516</v>
      </c>
      <c r="Q88" s="1051"/>
      <c r="R88" s="657"/>
      <c r="S88" s="657"/>
      <c r="T88" s="657"/>
      <c r="U88" s="658"/>
      <c r="V88" s="658"/>
      <c r="W88" s="659"/>
    </row>
    <row r="89" spans="1:23" s="489" customFormat="1" ht="77.25" customHeight="1">
      <c r="A89" s="924">
        <v>79</v>
      </c>
      <c r="B89" s="923" t="s">
        <v>517</v>
      </c>
      <c r="C89" s="930" t="s">
        <v>41</v>
      </c>
      <c r="D89" s="940" t="s">
        <v>54</v>
      </c>
      <c r="E89" s="975" t="s">
        <v>29</v>
      </c>
      <c r="F89" s="942">
        <v>1588</v>
      </c>
      <c r="G89" s="996">
        <v>92</v>
      </c>
      <c r="H89" s="927">
        <v>0</v>
      </c>
      <c r="I89" s="927">
        <f t="shared" si="5"/>
        <v>0</v>
      </c>
      <c r="J89" s="928">
        <v>37482387</v>
      </c>
      <c r="K89" s="959">
        <v>0</v>
      </c>
      <c r="L89" s="1110">
        <v>0</v>
      </c>
      <c r="M89" s="926">
        <f t="shared" si="4"/>
        <v>37482387</v>
      </c>
      <c r="N89" s="929" t="s">
        <v>24</v>
      </c>
      <c r="O89" s="928">
        <v>142029644</v>
      </c>
      <c r="P89" s="1068">
        <v>0</v>
      </c>
      <c r="Q89" s="660"/>
      <c r="R89" s="661"/>
      <c r="S89" s="662"/>
      <c r="T89" s="663"/>
      <c r="U89" s="664"/>
      <c r="V89" s="664"/>
      <c r="W89" s="665"/>
    </row>
    <row r="90" spans="1:23" s="489" customFormat="1" ht="121.5" customHeight="1">
      <c r="A90" s="924">
        <v>80</v>
      </c>
      <c r="B90" s="953" t="s">
        <v>154</v>
      </c>
      <c r="C90" s="946" t="s">
        <v>41</v>
      </c>
      <c r="D90" s="940" t="s">
        <v>468</v>
      </c>
      <c r="E90" s="923" t="s">
        <v>23</v>
      </c>
      <c r="F90" s="936">
        <v>1373</v>
      </c>
      <c r="G90" s="934">
        <v>91</v>
      </c>
      <c r="H90" s="939">
        <v>0.54</v>
      </c>
      <c r="I90" s="927">
        <f t="shared" si="5"/>
        <v>0.2365539554653302</v>
      </c>
      <c r="J90" s="926">
        <v>394075</v>
      </c>
      <c r="K90" s="926">
        <v>93220</v>
      </c>
      <c r="L90" s="926">
        <v>212195</v>
      </c>
      <c r="M90" s="926">
        <f t="shared" si="4"/>
        <v>88660</v>
      </c>
      <c r="N90" s="929" t="s">
        <v>74</v>
      </c>
      <c r="O90" s="928">
        <v>40560000</v>
      </c>
      <c r="P90" s="1005"/>
      <c r="Q90" s="12"/>
      <c r="R90" s="12"/>
      <c r="S90" s="12"/>
      <c r="T90" s="12"/>
      <c r="U90" s="664"/>
      <c r="V90" s="664"/>
      <c r="W90" s="665"/>
    </row>
    <row r="91" spans="1:23" s="489" customFormat="1" ht="45.75" customHeight="1">
      <c r="A91" s="924">
        <v>81</v>
      </c>
      <c r="B91" s="922" t="s">
        <v>32</v>
      </c>
      <c r="C91" s="923" t="s">
        <v>21</v>
      </c>
      <c r="D91" s="923" t="s">
        <v>33</v>
      </c>
      <c r="E91" s="924" t="s">
        <v>23</v>
      </c>
      <c r="F91" s="925">
        <v>1484</v>
      </c>
      <c r="G91" s="926">
        <v>91</v>
      </c>
      <c r="H91" s="927">
        <v>3.0000000000000001E-3</v>
      </c>
      <c r="I91" s="927">
        <f t="shared" si="5"/>
        <v>0.15949534140998231</v>
      </c>
      <c r="J91" s="928">
        <v>189435</v>
      </c>
      <c r="K91" s="926">
        <v>30214</v>
      </c>
      <c r="L91" s="926">
        <v>133630</v>
      </c>
      <c r="M91" s="926">
        <f t="shared" si="4"/>
        <v>25591</v>
      </c>
      <c r="N91" s="929" t="s">
        <v>52</v>
      </c>
      <c r="O91" s="926">
        <f>14107640</f>
        <v>14107640</v>
      </c>
      <c r="P91" s="1064" t="s">
        <v>518</v>
      </c>
      <c r="Q91" s="652"/>
      <c r="R91" s="653"/>
      <c r="S91" s="654"/>
      <c r="T91" s="655"/>
      <c r="U91" s="664"/>
      <c r="V91" s="664"/>
      <c r="W91" s="665"/>
    </row>
    <row r="92" spans="1:23" s="489" customFormat="1" ht="77.25" customHeight="1">
      <c r="A92" s="924">
        <v>82</v>
      </c>
      <c r="B92" s="947" t="s">
        <v>519</v>
      </c>
      <c r="C92" s="923" t="s">
        <v>60</v>
      </c>
      <c r="D92" s="923" t="s">
        <v>520</v>
      </c>
      <c r="E92" s="923" t="s">
        <v>23</v>
      </c>
      <c r="F92" s="936">
        <v>1480</v>
      </c>
      <c r="G92" s="934">
        <v>91</v>
      </c>
      <c r="H92" s="939">
        <v>0</v>
      </c>
      <c r="I92" s="927">
        <f t="shared" si="5"/>
        <v>0</v>
      </c>
      <c r="J92" s="926">
        <v>279390</v>
      </c>
      <c r="K92" s="997">
        <f>0</f>
        <v>0</v>
      </c>
      <c r="L92" s="938">
        <v>90000</v>
      </c>
      <c r="M92" s="926">
        <f t="shared" si="4"/>
        <v>189390</v>
      </c>
      <c r="N92" s="929" t="s">
        <v>521</v>
      </c>
      <c r="O92" s="998">
        <f>67308936/5</f>
        <v>13461787.199999999</v>
      </c>
      <c r="P92" s="963"/>
      <c r="Q92" s="650"/>
      <c r="R92" s="650"/>
      <c r="S92" s="650"/>
      <c r="T92" s="650"/>
      <c r="U92" s="664"/>
      <c r="V92" s="664"/>
      <c r="W92" s="665"/>
    </row>
    <row r="93" spans="1:23" s="489" customFormat="1" ht="150" customHeight="1">
      <c r="A93" s="924">
        <v>83</v>
      </c>
      <c r="B93" s="947" t="s">
        <v>125</v>
      </c>
      <c r="C93" s="952" t="s">
        <v>107</v>
      </c>
      <c r="D93" s="929" t="s">
        <v>126</v>
      </c>
      <c r="E93" s="923" t="s">
        <v>23</v>
      </c>
      <c r="F93" s="936">
        <v>1107</v>
      </c>
      <c r="G93" s="934">
        <v>91</v>
      </c>
      <c r="H93" s="939">
        <v>0.82</v>
      </c>
      <c r="I93" s="927">
        <f t="shared" si="5"/>
        <v>0.40094399525885788</v>
      </c>
      <c r="J93" s="926">
        <v>236230</v>
      </c>
      <c r="K93" s="926">
        <v>94715</v>
      </c>
      <c r="L93" s="926">
        <v>127364</v>
      </c>
      <c r="M93" s="926">
        <f t="shared" si="4"/>
        <v>14151</v>
      </c>
      <c r="N93" s="929" t="s">
        <v>52</v>
      </c>
      <c r="O93" s="928">
        <f>11519734.08/5</f>
        <v>2303946.8160000001</v>
      </c>
      <c r="P93" s="1011" t="s">
        <v>467</v>
      </c>
      <c r="Q93" s="650"/>
      <c r="R93" s="651"/>
      <c r="S93" s="651"/>
      <c r="T93" s="651"/>
      <c r="U93" s="664"/>
      <c r="V93" s="664"/>
      <c r="W93" s="665"/>
    </row>
    <row r="94" spans="1:23" s="489" customFormat="1" ht="82.5" customHeight="1">
      <c r="A94" s="924">
        <v>84</v>
      </c>
      <c r="B94" s="970" t="s">
        <v>522</v>
      </c>
      <c r="C94" s="930" t="s">
        <v>41</v>
      </c>
      <c r="D94" s="931" t="s">
        <v>367</v>
      </c>
      <c r="E94" s="971" t="s">
        <v>29</v>
      </c>
      <c r="F94" s="933">
        <v>1569</v>
      </c>
      <c r="G94" s="926">
        <v>90</v>
      </c>
      <c r="H94" s="927">
        <v>0</v>
      </c>
      <c r="I94" s="927">
        <v>0</v>
      </c>
      <c r="J94" s="943">
        <v>721301</v>
      </c>
      <c r="K94" s="943">
        <v>0</v>
      </c>
      <c r="L94" s="943">
        <v>0</v>
      </c>
      <c r="M94" s="926">
        <f t="shared" si="4"/>
        <v>721301</v>
      </c>
      <c r="N94" s="929" t="s">
        <v>66</v>
      </c>
      <c r="O94" s="928">
        <v>112262344.45</v>
      </c>
      <c r="P94" s="1065"/>
      <c r="Q94" s="12"/>
      <c r="R94" s="12"/>
      <c r="S94" s="12"/>
      <c r="T94" s="12"/>
      <c r="U94" s="664"/>
      <c r="V94" s="664"/>
      <c r="W94" s="665"/>
    </row>
    <row r="95" spans="1:23" s="489" customFormat="1" ht="33" customHeight="1">
      <c r="A95" s="924">
        <v>85</v>
      </c>
      <c r="B95" s="970" t="s">
        <v>523</v>
      </c>
      <c r="C95" s="930" t="s">
        <v>41</v>
      </c>
      <c r="D95" s="931" t="s">
        <v>367</v>
      </c>
      <c r="E95" s="971" t="s">
        <v>29</v>
      </c>
      <c r="F95" s="933">
        <v>1621</v>
      </c>
      <c r="G95" s="926">
        <v>90</v>
      </c>
      <c r="H95" s="927">
        <v>0</v>
      </c>
      <c r="I95" s="927">
        <v>0</v>
      </c>
      <c r="J95" s="943">
        <v>1059239</v>
      </c>
      <c r="K95" s="943">
        <v>0</v>
      </c>
      <c r="L95" s="943">
        <v>120</v>
      </c>
      <c r="M95" s="926">
        <f t="shared" si="4"/>
        <v>1059119</v>
      </c>
      <c r="N95" s="929" t="s">
        <v>24</v>
      </c>
      <c r="O95" s="928">
        <v>424161920</v>
      </c>
      <c r="P95" s="1065"/>
      <c r="Q95" s="12"/>
      <c r="R95" s="12"/>
      <c r="S95" s="12"/>
      <c r="T95" s="12"/>
      <c r="U95" s="664"/>
      <c r="V95" s="664"/>
      <c r="W95" s="665"/>
    </row>
    <row r="96" spans="1:23" s="489" customFormat="1" ht="45.75" customHeight="1">
      <c r="A96" s="924">
        <v>86</v>
      </c>
      <c r="B96" s="922" t="s">
        <v>524</v>
      </c>
      <c r="C96" s="930" t="s">
        <v>41</v>
      </c>
      <c r="D96" s="931" t="s">
        <v>367</v>
      </c>
      <c r="E96" s="975" t="s">
        <v>29</v>
      </c>
      <c r="F96" s="1095">
        <v>1572</v>
      </c>
      <c r="G96" s="934">
        <v>90</v>
      </c>
      <c r="H96" s="937">
        <v>0</v>
      </c>
      <c r="I96" s="937">
        <v>0</v>
      </c>
      <c r="J96" s="943">
        <v>504872</v>
      </c>
      <c r="K96" s="943">
        <v>0</v>
      </c>
      <c r="L96" s="943">
        <v>105000</v>
      </c>
      <c r="M96" s="926">
        <f t="shared" si="4"/>
        <v>399872</v>
      </c>
      <c r="N96" s="929" t="s">
        <v>289</v>
      </c>
      <c r="O96" s="938">
        <v>101724195</v>
      </c>
      <c r="P96" s="999"/>
      <c r="Q96" s="1052"/>
      <c r="R96" s="657"/>
      <c r="S96" s="657"/>
      <c r="T96" s="657"/>
      <c r="U96" s="657"/>
      <c r="V96" s="666"/>
      <c r="W96" s="667"/>
    </row>
    <row r="97" spans="1:23" s="489" customFormat="1" ht="36" customHeight="1">
      <c r="A97" s="924">
        <v>87</v>
      </c>
      <c r="B97" s="990" t="s">
        <v>263</v>
      </c>
      <c r="C97" s="941" t="s">
        <v>21</v>
      </c>
      <c r="D97" s="929" t="s">
        <v>22</v>
      </c>
      <c r="E97" s="923" t="s">
        <v>23</v>
      </c>
      <c r="F97" s="936">
        <v>277</v>
      </c>
      <c r="G97" s="1000">
        <v>89</v>
      </c>
      <c r="H97" s="927">
        <v>0.88</v>
      </c>
      <c r="I97" s="927">
        <f t="shared" ref="I97:I122" si="6">K97/J97</f>
        <v>0.79462775041506351</v>
      </c>
      <c r="J97" s="926">
        <v>504742</v>
      </c>
      <c r="K97" s="926">
        <v>401082</v>
      </c>
      <c r="L97" s="926">
        <v>59720</v>
      </c>
      <c r="M97" s="926">
        <f t="shared" si="4"/>
        <v>43940</v>
      </c>
      <c r="N97" s="929">
        <v>2027</v>
      </c>
      <c r="O97" s="928" t="s">
        <v>264</v>
      </c>
      <c r="P97" s="963"/>
      <c r="Q97" s="652"/>
      <c r="R97" s="653"/>
      <c r="S97" s="654"/>
      <c r="T97" s="655"/>
      <c r="U97" s="651"/>
      <c r="V97" s="668"/>
      <c r="W97" s="669"/>
    </row>
    <row r="98" spans="1:23" s="489" customFormat="1" ht="115.5" customHeight="1">
      <c r="A98" s="924">
        <v>88</v>
      </c>
      <c r="B98" s="960" t="s">
        <v>147</v>
      </c>
      <c r="C98" s="930" t="s">
        <v>41</v>
      </c>
      <c r="D98" s="1001" t="s">
        <v>101</v>
      </c>
      <c r="E98" s="945" t="s">
        <v>23</v>
      </c>
      <c r="F98" s="936" t="s">
        <v>525</v>
      </c>
      <c r="G98" s="928">
        <v>89</v>
      </c>
      <c r="H98" s="937">
        <v>0.314</v>
      </c>
      <c r="I98" s="1002">
        <f t="shared" si="6"/>
        <v>0.14492715701615133</v>
      </c>
      <c r="J98" s="943">
        <v>8446112</v>
      </c>
      <c r="K98" s="943">
        <v>1224071</v>
      </c>
      <c r="L98" s="943">
        <v>594819</v>
      </c>
      <c r="M98" s="926">
        <f t="shared" si="4"/>
        <v>6627222</v>
      </c>
      <c r="N98" s="929" t="s">
        <v>66</v>
      </c>
      <c r="O98" s="928">
        <v>5090879000</v>
      </c>
      <c r="P98" s="1005"/>
      <c r="Q98" s="651"/>
      <c r="R98" s="651"/>
      <c r="S98" s="651"/>
      <c r="T98" s="651"/>
      <c r="U98" s="651"/>
      <c r="V98" s="668"/>
      <c r="W98" s="669"/>
    </row>
    <row r="99" spans="1:23" s="489" customFormat="1" ht="114" customHeight="1">
      <c r="A99" s="924">
        <v>89</v>
      </c>
      <c r="B99" s="947" t="s">
        <v>212</v>
      </c>
      <c r="C99" s="952" t="s">
        <v>107</v>
      </c>
      <c r="D99" s="1003" t="s">
        <v>526</v>
      </c>
      <c r="E99" s="923" t="s">
        <v>23</v>
      </c>
      <c r="F99" s="936">
        <v>1107</v>
      </c>
      <c r="G99" s="934">
        <v>88</v>
      </c>
      <c r="H99" s="939">
        <v>0.48</v>
      </c>
      <c r="I99" s="927">
        <f t="shared" si="6"/>
        <v>0.37269369596239404</v>
      </c>
      <c r="J99" s="926">
        <v>119130</v>
      </c>
      <c r="K99" s="926">
        <v>44399</v>
      </c>
      <c r="L99" s="926">
        <v>37004</v>
      </c>
      <c r="M99" s="926">
        <f t="shared" si="4"/>
        <v>37727</v>
      </c>
      <c r="N99" s="929" t="s">
        <v>52</v>
      </c>
      <c r="O99" s="928">
        <f>7815000/5</f>
        <v>1563000</v>
      </c>
      <c r="P99" s="994" t="s">
        <v>527</v>
      </c>
      <c r="Q99" s="650"/>
      <c r="R99" s="651"/>
      <c r="S99" s="651"/>
      <c r="T99" s="651"/>
      <c r="U99" s="651"/>
      <c r="V99" s="668"/>
      <c r="W99" s="669"/>
    </row>
    <row r="100" spans="1:23" s="489" customFormat="1" ht="138" customHeight="1">
      <c r="A100" s="924">
        <v>90</v>
      </c>
      <c r="B100" s="922" t="s">
        <v>174</v>
      </c>
      <c r="C100" s="952" t="s">
        <v>107</v>
      </c>
      <c r="D100" s="922" t="s">
        <v>528</v>
      </c>
      <c r="E100" s="923" t="s">
        <v>23</v>
      </c>
      <c r="F100" s="936">
        <v>1107</v>
      </c>
      <c r="G100" s="934">
        <v>88</v>
      </c>
      <c r="H100" s="939">
        <v>0.22</v>
      </c>
      <c r="I100" s="927">
        <f t="shared" si="6"/>
        <v>6.1248225968361658E-2</v>
      </c>
      <c r="J100" s="926">
        <v>144445</v>
      </c>
      <c r="K100" s="926">
        <v>8847</v>
      </c>
      <c r="L100" s="926">
        <v>35721</v>
      </c>
      <c r="M100" s="926">
        <f t="shared" si="4"/>
        <v>99877</v>
      </c>
      <c r="N100" s="929" t="s">
        <v>74</v>
      </c>
      <c r="O100" s="928">
        <f>52472616/5</f>
        <v>10494523.199999999</v>
      </c>
      <c r="P100" s="1011" t="s">
        <v>467</v>
      </c>
      <c r="Q100" s="650"/>
      <c r="R100" s="651"/>
      <c r="S100" s="651"/>
      <c r="T100" s="651"/>
      <c r="U100" s="651"/>
      <c r="V100" s="668"/>
      <c r="W100" s="669"/>
    </row>
    <row r="101" spans="1:23" s="672" customFormat="1" ht="106.5" customHeight="1">
      <c r="A101" s="924">
        <v>91</v>
      </c>
      <c r="B101" s="922" t="s">
        <v>186</v>
      </c>
      <c r="C101" s="952" t="s">
        <v>107</v>
      </c>
      <c r="D101" s="922" t="s">
        <v>529</v>
      </c>
      <c r="E101" s="923" t="s">
        <v>23</v>
      </c>
      <c r="F101" s="936">
        <v>1107</v>
      </c>
      <c r="G101" s="934">
        <v>88</v>
      </c>
      <c r="H101" s="939">
        <v>0.2</v>
      </c>
      <c r="I101" s="927">
        <f t="shared" si="6"/>
        <v>4.9941518039435528E-2</v>
      </c>
      <c r="J101" s="926">
        <v>144489</v>
      </c>
      <c r="K101" s="926">
        <v>7216</v>
      </c>
      <c r="L101" s="926">
        <v>28114</v>
      </c>
      <c r="M101" s="926">
        <f t="shared" si="4"/>
        <v>109159</v>
      </c>
      <c r="N101" s="929" t="s">
        <v>24</v>
      </c>
      <c r="O101" s="928">
        <f>415952/5</f>
        <v>83190.399999999994</v>
      </c>
      <c r="P101" s="1011" t="s">
        <v>467</v>
      </c>
      <c r="Q101" s="650"/>
      <c r="R101" s="651"/>
      <c r="S101" s="651"/>
      <c r="T101" s="651"/>
      <c r="U101" s="650"/>
      <c r="V101" s="670"/>
      <c r="W101" s="671"/>
    </row>
    <row r="102" spans="1:23" s="489" customFormat="1" ht="312.75" customHeight="1">
      <c r="A102" s="924">
        <v>92</v>
      </c>
      <c r="B102" s="947" t="s">
        <v>275</v>
      </c>
      <c r="C102" s="930" t="s">
        <v>41</v>
      </c>
      <c r="D102" s="931" t="s">
        <v>448</v>
      </c>
      <c r="E102" s="924" t="s">
        <v>23</v>
      </c>
      <c r="F102" s="1098">
        <v>415</v>
      </c>
      <c r="G102" s="1004">
        <v>88</v>
      </c>
      <c r="H102" s="937">
        <v>0.75</v>
      </c>
      <c r="I102" s="1002">
        <f t="shared" si="6"/>
        <v>0.42141313306208106</v>
      </c>
      <c r="J102" s="943">
        <v>29536341</v>
      </c>
      <c r="K102" s="943">
        <v>12447002</v>
      </c>
      <c r="L102" s="943">
        <v>1001795</v>
      </c>
      <c r="M102" s="926">
        <f t="shared" si="4"/>
        <v>16087544</v>
      </c>
      <c r="N102" s="929" t="s">
        <v>530</v>
      </c>
      <c r="O102" s="966">
        <v>15.7</v>
      </c>
      <c r="P102" s="1005"/>
      <c r="Q102" s="648"/>
      <c r="R102" s="648"/>
      <c r="S102" s="648"/>
      <c r="T102" s="648"/>
      <c r="U102" s="651"/>
      <c r="V102" s="668"/>
      <c r="W102" s="669"/>
    </row>
    <row r="103" spans="1:23" s="672" customFormat="1" ht="99" customHeight="1">
      <c r="A103" s="924">
        <v>93</v>
      </c>
      <c r="B103" s="1006" t="s">
        <v>239</v>
      </c>
      <c r="C103" s="930" t="s">
        <v>41</v>
      </c>
      <c r="D103" s="931" t="s">
        <v>448</v>
      </c>
      <c r="E103" s="991" t="s">
        <v>23</v>
      </c>
      <c r="F103" s="1099">
        <v>371</v>
      </c>
      <c r="G103" s="934">
        <v>87</v>
      </c>
      <c r="H103" s="1002">
        <v>0.30499999999999999</v>
      </c>
      <c r="I103" s="1002">
        <f t="shared" si="6"/>
        <v>0.47715488369997056</v>
      </c>
      <c r="J103" s="1111">
        <v>4238477</v>
      </c>
      <c r="K103" s="943">
        <v>2022410</v>
      </c>
      <c r="L103" s="943">
        <v>618599</v>
      </c>
      <c r="M103" s="926">
        <f t="shared" si="4"/>
        <v>1597468</v>
      </c>
      <c r="N103" s="929" t="s">
        <v>531</v>
      </c>
      <c r="O103" s="928">
        <v>124590000</v>
      </c>
      <c r="P103" s="1005"/>
      <c r="Q103" s="652"/>
      <c r="R103" s="653"/>
      <c r="S103" s="654"/>
      <c r="T103" s="655"/>
      <c r="U103" s="650"/>
      <c r="V103" s="670"/>
      <c r="W103" s="671"/>
    </row>
    <row r="104" spans="1:23" s="489" customFormat="1" ht="306.75" customHeight="1">
      <c r="A104" s="924">
        <v>94</v>
      </c>
      <c r="B104" s="947" t="s">
        <v>302</v>
      </c>
      <c r="C104" s="930" t="s">
        <v>41</v>
      </c>
      <c r="D104" s="931" t="s">
        <v>448</v>
      </c>
      <c r="E104" s="923" t="s">
        <v>23</v>
      </c>
      <c r="F104" s="1095">
        <v>988</v>
      </c>
      <c r="G104" s="926">
        <v>87</v>
      </c>
      <c r="H104" s="927">
        <v>0.86499999999999999</v>
      </c>
      <c r="I104" s="935">
        <f t="shared" si="6"/>
        <v>0.51180524924492365</v>
      </c>
      <c r="J104" s="943">
        <v>5556723</v>
      </c>
      <c r="K104" s="943">
        <v>2843960</v>
      </c>
      <c r="L104" s="943">
        <v>379909</v>
      </c>
      <c r="M104" s="926">
        <f t="shared" si="4"/>
        <v>2332854</v>
      </c>
      <c r="N104" s="929" t="s">
        <v>532</v>
      </c>
      <c r="O104" s="938">
        <v>627340000</v>
      </c>
      <c r="P104" s="963"/>
      <c r="Q104" s="651"/>
      <c r="R104" s="651"/>
      <c r="S104" s="651"/>
      <c r="T104" s="651"/>
      <c r="U104" s="651"/>
      <c r="V104" s="668"/>
      <c r="W104" s="669"/>
    </row>
    <row r="105" spans="1:23" s="489" customFormat="1" ht="99" customHeight="1">
      <c r="A105" s="924">
        <v>95</v>
      </c>
      <c r="B105" s="947" t="s">
        <v>326</v>
      </c>
      <c r="C105" s="930" t="s">
        <v>41</v>
      </c>
      <c r="D105" s="931" t="s">
        <v>448</v>
      </c>
      <c r="E105" s="923" t="s">
        <v>23</v>
      </c>
      <c r="F105" s="936">
        <v>998</v>
      </c>
      <c r="G105" s="926">
        <v>87</v>
      </c>
      <c r="H105" s="939">
        <v>0.34260000000000002</v>
      </c>
      <c r="I105" s="927">
        <f t="shared" si="6"/>
        <v>0.22015559490373265</v>
      </c>
      <c r="J105" s="974">
        <v>393072</v>
      </c>
      <c r="K105" s="926">
        <v>86537</v>
      </c>
      <c r="L105" s="926">
        <v>1798</v>
      </c>
      <c r="M105" s="926">
        <f t="shared" si="4"/>
        <v>304737</v>
      </c>
      <c r="N105" s="964" t="s">
        <v>533</v>
      </c>
      <c r="O105" s="938">
        <v>150349000</v>
      </c>
      <c r="P105" s="1005"/>
      <c r="Q105" s="651"/>
      <c r="R105" s="651"/>
      <c r="S105" s="651"/>
      <c r="T105" s="651"/>
      <c r="U105" s="651"/>
      <c r="V105" s="668"/>
      <c r="W105" s="669"/>
    </row>
    <row r="106" spans="1:23" s="489" customFormat="1" ht="99" customHeight="1">
      <c r="A106" s="924">
        <v>96</v>
      </c>
      <c r="B106" s="922" t="s">
        <v>312</v>
      </c>
      <c r="C106" s="930" t="s">
        <v>41</v>
      </c>
      <c r="D106" s="931" t="s">
        <v>448</v>
      </c>
      <c r="E106" s="923" t="s">
        <v>23</v>
      </c>
      <c r="F106" s="936">
        <v>1121</v>
      </c>
      <c r="G106" s="934">
        <v>87</v>
      </c>
      <c r="H106" s="939">
        <v>0.71760000000000002</v>
      </c>
      <c r="I106" s="935">
        <f t="shared" si="6"/>
        <v>0.26563539727596636</v>
      </c>
      <c r="J106" s="926">
        <v>237442</v>
      </c>
      <c r="K106" s="926">
        <v>63073</v>
      </c>
      <c r="L106" s="926">
        <v>33359</v>
      </c>
      <c r="M106" s="926">
        <f t="shared" si="4"/>
        <v>141010</v>
      </c>
      <c r="N106" s="929" t="s">
        <v>534</v>
      </c>
      <c r="O106" s="928">
        <v>22990000</v>
      </c>
      <c r="P106" s="1005"/>
      <c r="Q106" s="651"/>
      <c r="R106" s="651"/>
      <c r="S106" s="651"/>
      <c r="T106" s="651"/>
      <c r="U106" s="651"/>
      <c r="V106" s="668"/>
      <c r="W106" s="669"/>
    </row>
    <row r="107" spans="1:23" s="489" customFormat="1" ht="121.5" customHeight="1">
      <c r="A107" s="924">
        <v>97</v>
      </c>
      <c r="B107" s="922" t="s">
        <v>166</v>
      </c>
      <c r="C107" s="952" t="s">
        <v>107</v>
      </c>
      <c r="D107" s="947" t="s">
        <v>535</v>
      </c>
      <c r="E107" s="923" t="s">
        <v>23</v>
      </c>
      <c r="F107" s="936">
        <v>1107</v>
      </c>
      <c r="G107" s="934">
        <v>87</v>
      </c>
      <c r="H107" s="939">
        <v>0.35</v>
      </c>
      <c r="I107" s="927">
        <f t="shared" si="6"/>
        <v>0.17487756060830337</v>
      </c>
      <c r="J107" s="926">
        <v>155383</v>
      </c>
      <c r="K107" s="926">
        <v>27173</v>
      </c>
      <c r="L107" s="926">
        <v>33980</v>
      </c>
      <c r="M107" s="926">
        <f t="shared" ref="M107:M138" si="7">J107-K107-L107</f>
        <v>94230</v>
      </c>
      <c r="N107" s="929" t="s">
        <v>24</v>
      </c>
      <c r="O107" s="928">
        <f>155383540.81/5</f>
        <v>31076708.162</v>
      </c>
      <c r="P107" s="1011" t="s">
        <v>467</v>
      </c>
      <c r="Q107" s="650"/>
      <c r="R107" s="651"/>
      <c r="S107" s="651"/>
      <c r="T107" s="651"/>
      <c r="U107" s="651"/>
      <c r="V107" s="668"/>
      <c r="W107" s="669"/>
    </row>
    <row r="108" spans="1:23" s="489" customFormat="1" ht="104.25" customHeight="1">
      <c r="A108" s="924">
        <v>98</v>
      </c>
      <c r="B108" s="949" t="s">
        <v>536</v>
      </c>
      <c r="C108" s="1007" t="s">
        <v>107</v>
      </c>
      <c r="D108" s="949" t="s">
        <v>537</v>
      </c>
      <c r="E108" s="923" t="s">
        <v>29</v>
      </c>
      <c r="F108" s="936">
        <v>1108</v>
      </c>
      <c r="G108" s="934">
        <v>87</v>
      </c>
      <c r="H108" s="927">
        <v>0</v>
      </c>
      <c r="I108" s="927">
        <f t="shared" si="6"/>
        <v>0</v>
      </c>
      <c r="J108" s="943">
        <v>150193</v>
      </c>
      <c r="K108" s="943">
        <v>0</v>
      </c>
      <c r="L108" s="943">
        <v>0</v>
      </c>
      <c r="M108" s="926">
        <f t="shared" si="7"/>
        <v>150193</v>
      </c>
      <c r="N108" s="929" t="s">
        <v>66</v>
      </c>
      <c r="O108" s="928">
        <f>17690849/5</f>
        <v>3538169.8</v>
      </c>
      <c r="P108" s="994" t="s">
        <v>538</v>
      </c>
      <c r="Q108" s="118"/>
      <c r="R108" s="12"/>
      <c r="S108" s="12"/>
      <c r="T108" s="12"/>
      <c r="U108" s="651"/>
      <c r="V108" s="668"/>
      <c r="W108" s="669"/>
    </row>
    <row r="109" spans="1:23" s="489" customFormat="1" ht="144.75" customHeight="1">
      <c r="A109" s="924">
        <v>99</v>
      </c>
      <c r="B109" s="947" t="s">
        <v>161</v>
      </c>
      <c r="C109" s="930" t="s">
        <v>41</v>
      </c>
      <c r="D109" s="931" t="s">
        <v>367</v>
      </c>
      <c r="E109" s="923" t="s">
        <v>23</v>
      </c>
      <c r="F109" s="936">
        <v>1563</v>
      </c>
      <c r="G109" s="934">
        <v>86</v>
      </c>
      <c r="H109" s="939">
        <v>0.2</v>
      </c>
      <c r="I109" s="927">
        <f t="shared" si="6"/>
        <v>3.3512730577526591E-3</v>
      </c>
      <c r="J109" s="926">
        <v>140842</v>
      </c>
      <c r="K109" s="926">
        <v>472</v>
      </c>
      <c r="L109" s="926">
        <v>32420</v>
      </c>
      <c r="M109" s="926">
        <f t="shared" si="7"/>
        <v>107950</v>
      </c>
      <c r="N109" s="929" t="s">
        <v>74</v>
      </c>
      <c r="O109" s="928">
        <f>60699867/5</f>
        <v>12139973.4</v>
      </c>
      <c r="P109" s="963" t="s">
        <v>539</v>
      </c>
      <c r="Q109" s="12"/>
      <c r="R109" s="12"/>
      <c r="S109" s="12"/>
      <c r="T109" s="12"/>
      <c r="U109" s="651"/>
      <c r="V109" s="668"/>
      <c r="W109" s="669"/>
    </row>
    <row r="110" spans="1:23" s="489" customFormat="1" ht="143.25" customHeight="1">
      <c r="A110" s="924">
        <v>100</v>
      </c>
      <c r="B110" s="947" t="s">
        <v>110</v>
      </c>
      <c r="C110" s="952" t="s">
        <v>107</v>
      </c>
      <c r="D110" s="923" t="s">
        <v>111</v>
      </c>
      <c r="E110" s="1008" t="s">
        <v>23</v>
      </c>
      <c r="F110" s="1009">
        <v>1107</v>
      </c>
      <c r="G110" s="1000">
        <v>86</v>
      </c>
      <c r="H110" s="939">
        <v>0.22</v>
      </c>
      <c r="I110" s="927">
        <f t="shared" si="6"/>
        <v>0.13025061771973173</v>
      </c>
      <c r="J110" s="1010">
        <v>175646</v>
      </c>
      <c r="K110" s="1010">
        <v>22878</v>
      </c>
      <c r="L110" s="926">
        <v>34560</v>
      </c>
      <c r="M110" s="926">
        <f t="shared" si="7"/>
        <v>118208</v>
      </c>
      <c r="N110" s="929" t="s">
        <v>74</v>
      </c>
      <c r="O110" s="928">
        <f>118280000/5</f>
        <v>23656000</v>
      </c>
      <c r="P110" s="994" t="s">
        <v>540</v>
      </c>
      <c r="Q110" s="650"/>
      <c r="R110" s="651"/>
      <c r="S110" s="651"/>
      <c r="T110" s="651"/>
      <c r="U110" s="651"/>
      <c r="V110" s="668"/>
      <c r="W110" s="669"/>
    </row>
    <row r="111" spans="1:23" s="489" customFormat="1" ht="77.25" customHeight="1">
      <c r="A111" s="924">
        <v>101</v>
      </c>
      <c r="B111" s="922" t="s">
        <v>169</v>
      </c>
      <c r="C111" s="946" t="s">
        <v>107</v>
      </c>
      <c r="D111" s="922" t="s">
        <v>541</v>
      </c>
      <c r="E111" s="923" t="s">
        <v>23</v>
      </c>
      <c r="F111" s="936">
        <v>1107</v>
      </c>
      <c r="G111" s="934">
        <v>86</v>
      </c>
      <c r="H111" s="939">
        <v>0.01</v>
      </c>
      <c r="I111" s="927">
        <f t="shared" si="6"/>
        <v>2.9883994173126201E-2</v>
      </c>
      <c r="J111" s="926">
        <v>188094</v>
      </c>
      <c r="K111" s="926">
        <v>5621</v>
      </c>
      <c r="L111" s="926">
        <v>24347</v>
      </c>
      <c r="M111" s="926">
        <f t="shared" si="7"/>
        <v>158126</v>
      </c>
      <c r="N111" s="929" t="s">
        <v>74</v>
      </c>
      <c r="O111" s="928">
        <f>135610806/5</f>
        <v>27122161.199999999</v>
      </c>
      <c r="P111" s="994" t="s">
        <v>542</v>
      </c>
      <c r="Q111" s="650"/>
      <c r="R111" s="651"/>
      <c r="S111" s="651"/>
      <c r="T111" s="651"/>
      <c r="U111" s="651"/>
      <c r="V111" s="668"/>
      <c r="W111" s="669"/>
    </row>
    <row r="112" spans="1:23" s="489" customFormat="1" ht="104.25" customHeight="1">
      <c r="A112" s="924">
        <v>102</v>
      </c>
      <c r="B112" s="922" t="s">
        <v>177</v>
      </c>
      <c r="C112" s="952" t="s">
        <v>107</v>
      </c>
      <c r="D112" s="922" t="s">
        <v>543</v>
      </c>
      <c r="E112" s="923" t="s">
        <v>23</v>
      </c>
      <c r="F112" s="936">
        <v>1107</v>
      </c>
      <c r="G112" s="934">
        <v>86</v>
      </c>
      <c r="H112" s="939">
        <v>0.15</v>
      </c>
      <c r="I112" s="927">
        <f t="shared" si="6"/>
        <v>3.5390637106077212E-2</v>
      </c>
      <c r="J112" s="926">
        <v>348482</v>
      </c>
      <c r="K112" s="926">
        <v>12333</v>
      </c>
      <c r="L112" s="926">
        <v>61425</v>
      </c>
      <c r="M112" s="926">
        <f t="shared" si="7"/>
        <v>274724</v>
      </c>
      <c r="N112" s="929" t="s">
        <v>24</v>
      </c>
      <c r="O112" s="928">
        <f>40575148/5</f>
        <v>8115029.5999999996</v>
      </c>
      <c r="P112" s="1011" t="s">
        <v>467</v>
      </c>
      <c r="Q112" s="650"/>
      <c r="R112" s="651"/>
      <c r="S112" s="651"/>
      <c r="T112" s="651"/>
      <c r="U112" s="651"/>
      <c r="V112" s="668"/>
      <c r="W112" s="669"/>
    </row>
    <row r="113" spans="1:23" s="489" customFormat="1" ht="50.25" customHeight="1">
      <c r="A113" s="924">
        <v>103</v>
      </c>
      <c r="B113" s="922" t="s">
        <v>280</v>
      </c>
      <c r="C113" s="930" t="s">
        <v>41</v>
      </c>
      <c r="D113" s="931" t="s">
        <v>448</v>
      </c>
      <c r="E113" s="975" t="s">
        <v>29</v>
      </c>
      <c r="F113" s="936" t="s">
        <v>92</v>
      </c>
      <c r="G113" s="934">
        <v>85</v>
      </c>
      <c r="H113" s="939">
        <v>0</v>
      </c>
      <c r="I113" s="927">
        <f t="shared" si="6"/>
        <v>0</v>
      </c>
      <c r="J113" s="926">
        <v>307506</v>
      </c>
      <c r="K113" s="926">
        <v>0</v>
      </c>
      <c r="L113" s="926">
        <v>0</v>
      </c>
      <c r="M113" s="926">
        <f t="shared" si="7"/>
        <v>307506</v>
      </c>
      <c r="N113" s="923" t="s">
        <v>544</v>
      </c>
      <c r="O113" s="928">
        <f>9611/5</f>
        <v>1922.2</v>
      </c>
      <c r="P113" s="963" t="s">
        <v>545</v>
      </c>
      <c r="Q113" s="651"/>
      <c r="R113" s="651"/>
      <c r="S113" s="651"/>
      <c r="T113" s="651"/>
      <c r="U113" s="651"/>
      <c r="V113" s="668"/>
      <c r="W113" s="669"/>
    </row>
    <row r="114" spans="1:23" s="489" customFormat="1" ht="108.75" customHeight="1">
      <c r="A114" s="924">
        <v>104</v>
      </c>
      <c r="B114" s="949" t="s">
        <v>546</v>
      </c>
      <c r="C114" s="1007" t="s">
        <v>107</v>
      </c>
      <c r="D114" s="949" t="s">
        <v>547</v>
      </c>
      <c r="E114" s="923" t="s">
        <v>29</v>
      </c>
      <c r="F114" s="936">
        <v>1108</v>
      </c>
      <c r="G114" s="934">
        <v>85</v>
      </c>
      <c r="H114" s="927">
        <v>0</v>
      </c>
      <c r="I114" s="927">
        <f t="shared" si="6"/>
        <v>0</v>
      </c>
      <c r="J114" s="943">
        <v>475928</v>
      </c>
      <c r="K114" s="943">
        <v>0</v>
      </c>
      <c r="L114" s="943">
        <v>0</v>
      </c>
      <c r="M114" s="926">
        <f t="shared" si="7"/>
        <v>475928</v>
      </c>
      <c r="N114" s="929" t="s">
        <v>66</v>
      </c>
      <c r="O114" s="928">
        <f>227368239.46/5</f>
        <v>45473647.892000005</v>
      </c>
      <c r="P114" s="994" t="s">
        <v>548</v>
      </c>
      <c r="Q114" s="118"/>
      <c r="R114" s="12"/>
      <c r="S114" s="12"/>
      <c r="T114" s="12"/>
      <c r="U114" s="651"/>
      <c r="V114" s="668"/>
      <c r="W114" s="669"/>
    </row>
    <row r="115" spans="1:23" s="489" customFormat="1" ht="161.25" customHeight="1">
      <c r="A115" s="924">
        <v>105</v>
      </c>
      <c r="B115" s="949" t="s">
        <v>549</v>
      </c>
      <c r="C115" s="1007" t="s">
        <v>107</v>
      </c>
      <c r="D115" s="949" t="s">
        <v>550</v>
      </c>
      <c r="E115" s="923" t="s">
        <v>29</v>
      </c>
      <c r="F115" s="936">
        <v>1108</v>
      </c>
      <c r="G115" s="934">
        <v>85</v>
      </c>
      <c r="H115" s="927">
        <v>0</v>
      </c>
      <c r="I115" s="927">
        <f t="shared" si="6"/>
        <v>0</v>
      </c>
      <c r="J115" s="943">
        <v>854573</v>
      </c>
      <c r="K115" s="943">
        <v>0</v>
      </c>
      <c r="L115" s="943">
        <v>0</v>
      </c>
      <c r="M115" s="926">
        <f t="shared" si="7"/>
        <v>854573</v>
      </c>
      <c r="N115" s="929" t="s">
        <v>183</v>
      </c>
      <c r="O115" s="928">
        <f>16111077.29/5</f>
        <v>3222215.4579999996</v>
      </c>
      <c r="P115" s="994" t="s">
        <v>551</v>
      </c>
      <c r="Q115" s="118"/>
      <c r="R115" s="12"/>
      <c r="S115" s="12"/>
      <c r="T115" s="12"/>
      <c r="U115" s="651"/>
      <c r="V115" s="668"/>
      <c r="W115" s="669"/>
    </row>
    <row r="116" spans="1:23" s="489" customFormat="1" ht="102.75" customHeight="1">
      <c r="A116" s="924">
        <v>106</v>
      </c>
      <c r="B116" s="949" t="s">
        <v>552</v>
      </c>
      <c r="C116" s="1007" t="s">
        <v>107</v>
      </c>
      <c r="D116" s="949" t="s">
        <v>553</v>
      </c>
      <c r="E116" s="923" t="s">
        <v>29</v>
      </c>
      <c r="F116" s="936">
        <v>1108</v>
      </c>
      <c r="G116" s="934">
        <v>85</v>
      </c>
      <c r="H116" s="927">
        <v>0</v>
      </c>
      <c r="I116" s="927">
        <f t="shared" si="6"/>
        <v>0</v>
      </c>
      <c r="J116" s="943">
        <v>836949</v>
      </c>
      <c r="K116" s="943">
        <v>0</v>
      </c>
      <c r="L116" s="943">
        <v>0</v>
      </c>
      <c r="M116" s="926">
        <f t="shared" si="7"/>
        <v>836949</v>
      </c>
      <c r="N116" s="929" t="s">
        <v>183</v>
      </c>
      <c r="O116" s="928">
        <f>201357225.2/5</f>
        <v>40271445.039999999</v>
      </c>
      <c r="P116" s="994" t="s">
        <v>554</v>
      </c>
      <c r="Q116" s="118"/>
      <c r="R116" s="12"/>
      <c r="S116" s="12"/>
      <c r="T116" s="12"/>
      <c r="U116" s="651"/>
      <c r="V116" s="668"/>
      <c r="W116" s="669"/>
    </row>
    <row r="117" spans="1:23" s="489" customFormat="1" ht="52.5" customHeight="1">
      <c r="A117" s="924">
        <v>107</v>
      </c>
      <c r="B117" s="922" t="s">
        <v>292</v>
      </c>
      <c r="C117" s="941" t="s">
        <v>287</v>
      </c>
      <c r="D117" s="923" t="s">
        <v>288</v>
      </c>
      <c r="E117" s="923" t="s">
        <v>23</v>
      </c>
      <c r="F117" s="936">
        <v>868</v>
      </c>
      <c r="G117" s="934">
        <v>84</v>
      </c>
      <c r="H117" s="939">
        <v>2.0000000000000001E-4</v>
      </c>
      <c r="I117" s="927">
        <f t="shared" si="6"/>
        <v>1.4210412749298728E-2</v>
      </c>
      <c r="J117" s="926">
        <v>324410</v>
      </c>
      <c r="K117" s="926">
        <v>4610</v>
      </c>
      <c r="L117" s="926">
        <v>12500</v>
      </c>
      <c r="M117" s="926">
        <f t="shared" si="7"/>
        <v>307300</v>
      </c>
      <c r="N117" s="929" t="s">
        <v>183</v>
      </c>
      <c r="O117" s="928">
        <f>8607299.08/4.9</f>
        <v>1756591.6489795917</v>
      </c>
      <c r="P117" s="963"/>
      <c r="Q117" s="651"/>
      <c r="R117" s="651"/>
      <c r="S117" s="651"/>
      <c r="T117" s="651"/>
      <c r="U117" s="651"/>
      <c r="V117" s="668"/>
      <c r="W117" s="669"/>
    </row>
    <row r="118" spans="1:23" s="489" customFormat="1" ht="129" customHeight="1">
      <c r="A118" s="924">
        <v>108</v>
      </c>
      <c r="B118" s="922" t="s">
        <v>59</v>
      </c>
      <c r="C118" s="941" t="s">
        <v>60</v>
      </c>
      <c r="D118" s="929" t="s">
        <v>61</v>
      </c>
      <c r="E118" s="923" t="s">
        <v>23</v>
      </c>
      <c r="F118" s="936">
        <v>1416</v>
      </c>
      <c r="G118" s="926">
        <v>83</v>
      </c>
      <c r="H118" s="939">
        <v>0.14000000000000001</v>
      </c>
      <c r="I118" s="927">
        <f t="shared" si="6"/>
        <v>0.10834554849553037</v>
      </c>
      <c r="J118" s="926">
        <v>311771</v>
      </c>
      <c r="K118" s="926">
        <v>33779</v>
      </c>
      <c r="L118" s="926">
        <v>33000</v>
      </c>
      <c r="M118" s="926">
        <f t="shared" si="7"/>
        <v>244992</v>
      </c>
      <c r="N118" s="929" t="s">
        <v>66</v>
      </c>
      <c r="O118" s="928">
        <v>33299000000</v>
      </c>
      <c r="P118" s="947" t="s">
        <v>62</v>
      </c>
      <c r="Q118" s="118"/>
      <c r="R118" s="118"/>
      <c r="S118" s="118"/>
      <c r="T118" s="118"/>
      <c r="U118" s="651"/>
      <c r="V118" s="668"/>
      <c r="W118" s="669"/>
    </row>
    <row r="119" spans="1:23" s="489" customFormat="1" ht="77.25" customHeight="1">
      <c r="A119" s="924">
        <v>109</v>
      </c>
      <c r="B119" s="970" t="s">
        <v>555</v>
      </c>
      <c r="C119" s="930" t="s">
        <v>41</v>
      </c>
      <c r="D119" s="931" t="s">
        <v>448</v>
      </c>
      <c r="E119" s="971" t="s">
        <v>29</v>
      </c>
      <c r="F119" s="933" t="s">
        <v>92</v>
      </c>
      <c r="G119" s="926">
        <v>82</v>
      </c>
      <c r="H119" s="927">
        <v>0</v>
      </c>
      <c r="I119" s="927">
        <f t="shared" si="6"/>
        <v>0</v>
      </c>
      <c r="J119" s="943">
        <v>6750350</v>
      </c>
      <c r="K119" s="943">
        <v>0</v>
      </c>
      <c r="L119" s="943">
        <v>0</v>
      </c>
      <c r="M119" s="926">
        <f t="shared" si="7"/>
        <v>6750350</v>
      </c>
      <c r="N119" s="929" t="s">
        <v>289</v>
      </c>
      <c r="O119" s="928">
        <v>100476539</v>
      </c>
      <c r="P119" s="972"/>
      <c r="Q119" s="12"/>
      <c r="R119" s="12"/>
      <c r="S119" s="12"/>
      <c r="T119" s="12"/>
      <c r="U119" s="651"/>
      <c r="V119" s="668"/>
      <c r="W119" s="669"/>
    </row>
    <row r="120" spans="1:23" s="489" customFormat="1" ht="77.25" customHeight="1">
      <c r="A120" s="924">
        <v>110</v>
      </c>
      <c r="B120" s="922" t="s">
        <v>91</v>
      </c>
      <c r="C120" s="944" t="s">
        <v>41</v>
      </c>
      <c r="D120" s="931" t="s">
        <v>448</v>
      </c>
      <c r="E120" s="923" t="s">
        <v>23</v>
      </c>
      <c r="F120" s="948">
        <v>1529</v>
      </c>
      <c r="G120" s="926">
        <v>82</v>
      </c>
      <c r="H120" s="939">
        <v>0</v>
      </c>
      <c r="I120" s="927">
        <f t="shared" si="6"/>
        <v>5.8423134942320997E-3</v>
      </c>
      <c r="J120" s="926">
        <v>2519721</v>
      </c>
      <c r="K120" s="926">
        <v>14721</v>
      </c>
      <c r="L120" s="1103">
        <v>0</v>
      </c>
      <c r="M120" s="926">
        <f t="shared" si="7"/>
        <v>2505000</v>
      </c>
      <c r="N120" s="929" t="s">
        <v>556</v>
      </c>
      <c r="O120" s="928">
        <v>393637264</v>
      </c>
      <c r="P120" s="1005"/>
      <c r="Q120" s="649"/>
      <c r="R120" s="649"/>
      <c r="S120" s="649"/>
      <c r="T120" s="649"/>
      <c r="U120" s="651"/>
      <c r="V120" s="668"/>
      <c r="W120" s="669"/>
    </row>
    <row r="121" spans="1:23" s="489" customFormat="1" ht="153">
      <c r="A121" s="924">
        <v>111</v>
      </c>
      <c r="B121" s="929" t="s">
        <v>188</v>
      </c>
      <c r="C121" s="930" t="s">
        <v>41</v>
      </c>
      <c r="D121" s="931" t="s">
        <v>448</v>
      </c>
      <c r="E121" s="923" t="s">
        <v>23</v>
      </c>
      <c r="F121" s="1099">
        <v>1218</v>
      </c>
      <c r="G121" s="926">
        <v>82</v>
      </c>
      <c r="H121" s="927">
        <v>0.41199999999999998</v>
      </c>
      <c r="I121" s="927">
        <f t="shared" si="6"/>
        <v>0.18807490631385476</v>
      </c>
      <c r="J121" s="1111">
        <v>18590529</v>
      </c>
      <c r="K121" s="943">
        <v>3496412</v>
      </c>
      <c r="L121" s="943">
        <v>1069476</v>
      </c>
      <c r="M121" s="926">
        <f t="shared" si="7"/>
        <v>14024641</v>
      </c>
      <c r="N121" s="929" t="s">
        <v>557</v>
      </c>
      <c r="O121" s="928">
        <v>4553071361</v>
      </c>
      <c r="P121" s="1005"/>
      <c r="Q121" s="651"/>
      <c r="R121" s="651"/>
      <c r="S121" s="651"/>
      <c r="T121" s="651"/>
      <c r="U121" s="651"/>
      <c r="V121" s="668"/>
      <c r="W121" s="669"/>
    </row>
    <row r="122" spans="1:23" s="489" customFormat="1" ht="59.25" customHeight="1">
      <c r="A122" s="924">
        <v>112</v>
      </c>
      <c r="B122" s="922" t="s">
        <v>286</v>
      </c>
      <c r="C122" s="941" t="s">
        <v>287</v>
      </c>
      <c r="D122" s="923" t="s">
        <v>288</v>
      </c>
      <c r="E122" s="923" t="s">
        <v>23</v>
      </c>
      <c r="F122" s="936">
        <v>868</v>
      </c>
      <c r="G122" s="934">
        <v>82</v>
      </c>
      <c r="H122" s="939">
        <v>1E-4</v>
      </c>
      <c r="I122" s="927">
        <f t="shared" si="6"/>
        <v>9.6621479508326742E-3</v>
      </c>
      <c r="J122" s="926">
        <v>851053</v>
      </c>
      <c r="K122" s="926">
        <v>8223</v>
      </c>
      <c r="L122" s="926">
        <v>12500</v>
      </c>
      <c r="M122" s="926">
        <f t="shared" si="7"/>
        <v>830330</v>
      </c>
      <c r="N122" s="929" t="s">
        <v>289</v>
      </c>
      <c r="O122" s="928">
        <f>88682071/5</f>
        <v>17736414.199999999</v>
      </c>
      <c r="P122" s="963"/>
      <c r="Q122" s="651"/>
      <c r="R122" s="651"/>
      <c r="S122" s="651"/>
      <c r="T122" s="651"/>
      <c r="U122" s="651"/>
      <c r="V122" s="668"/>
      <c r="W122" s="669"/>
    </row>
    <row r="123" spans="1:23" s="489" customFormat="1" ht="91.5" customHeight="1">
      <c r="A123" s="924">
        <v>113</v>
      </c>
      <c r="B123" s="1012" t="s">
        <v>558</v>
      </c>
      <c r="C123" s="952" t="s">
        <v>107</v>
      </c>
      <c r="D123" s="923" t="s">
        <v>559</v>
      </c>
      <c r="E123" s="923" t="s">
        <v>29</v>
      </c>
      <c r="F123" s="948">
        <v>1108</v>
      </c>
      <c r="G123" s="934">
        <v>82</v>
      </c>
      <c r="H123" s="939">
        <v>0</v>
      </c>
      <c r="I123" s="927">
        <v>0</v>
      </c>
      <c r="J123" s="928">
        <v>198298</v>
      </c>
      <c r="K123" s="928">
        <v>0</v>
      </c>
      <c r="L123" s="926">
        <v>4818</v>
      </c>
      <c r="M123" s="926">
        <f t="shared" si="7"/>
        <v>193480</v>
      </c>
      <c r="N123" s="929" t="s">
        <v>24</v>
      </c>
      <c r="O123" s="928">
        <f>1963628068.62/5</f>
        <v>392725613.72399998</v>
      </c>
      <c r="P123" s="994" t="s">
        <v>560</v>
      </c>
      <c r="Q123" s="650"/>
      <c r="R123" s="651"/>
      <c r="S123" s="651"/>
      <c r="T123" s="651"/>
      <c r="U123" s="651"/>
      <c r="V123" s="668"/>
      <c r="W123" s="669"/>
    </row>
    <row r="124" spans="1:23" s="489" customFormat="1" ht="35.25" customHeight="1">
      <c r="A124" s="924">
        <v>114</v>
      </c>
      <c r="B124" s="947" t="s">
        <v>269</v>
      </c>
      <c r="C124" s="930" t="s">
        <v>41</v>
      </c>
      <c r="D124" s="931" t="s">
        <v>448</v>
      </c>
      <c r="E124" s="975" t="s">
        <v>29</v>
      </c>
      <c r="F124" s="936" t="s">
        <v>92</v>
      </c>
      <c r="G124" s="934">
        <v>82</v>
      </c>
      <c r="H124" s="939">
        <v>0</v>
      </c>
      <c r="I124" s="927">
        <v>0</v>
      </c>
      <c r="J124" s="926">
        <v>366008</v>
      </c>
      <c r="K124" s="926">
        <v>0</v>
      </c>
      <c r="L124" s="926">
        <v>0</v>
      </c>
      <c r="M124" s="926">
        <f t="shared" si="7"/>
        <v>366008</v>
      </c>
      <c r="N124" s="929" t="s">
        <v>289</v>
      </c>
      <c r="O124" s="928">
        <f>146.6*1000</f>
        <v>146600</v>
      </c>
      <c r="P124" s="963" t="s">
        <v>545</v>
      </c>
      <c r="Q124" s="651"/>
      <c r="R124" s="651"/>
      <c r="S124" s="651"/>
      <c r="T124" s="651"/>
      <c r="U124" s="651"/>
      <c r="V124" s="668"/>
      <c r="W124" s="669"/>
    </row>
    <row r="125" spans="1:23" s="489" customFormat="1" ht="48.75" customHeight="1">
      <c r="A125" s="924">
        <v>115</v>
      </c>
      <c r="B125" s="990" t="s">
        <v>306</v>
      </c>
      <c r="C125" s="941" t="s">
        <v>21</v>
      </c>
      <c r="D125" s="929" t="s">
        <v>22</v>
      </c>
      <c r="E125" s="923" t="s">
        <v>23</v>
      </c>
      <c r="F125" s="936">
        <v>287</v>
      </c>
      <c r="G125" s="926">
        <v>82</v>
      </c>
      <c r="H125" s="927">
        <v>0.81</v>
      </c>
      <c r="I125" s="927">
        <f t="shared" ref="I125:I131" si="8">K125/J125</f>
        <v>0.7920691739661242</v>
      </c>
      <c r="J125" s="926">
        <v>168734</v>
      </c>
      <c r="K125" s="926">
        <v>133649</v>
      </c>
      <c r="L125" s="926">
        <v>100</v>
      </c>
      <c r="M125" s="926">
        <f t="shared" si="7"/>
        <v>34985</v>
      </c>
      <c r="N125" s="929" t="s">
        <v>289</v>
      </c>
      <c r="O125" s="928" t="s">
        <v>264</v>
      </c>
      <c r="P125" s="1011" t="s">
        <v>307</v>
      </c>
      <c r="Q125" s="651"/>
      <c r="R125" s="651"/>
      <c r="S125" s="651"/>
      <c r="T125" s="651"/>
      <c r="U125" s="651"/>
      <c r="V125" s="668"/>
      <c r="W125" s="669"/>
    </row>
    <row r="126" spans="1:23" s="489" customFormat="1" ht="35.25" customHeight="1">
      <c r="A126" s="924">
        <v>116</v>
      </c>
      <c r="B126" s="947" t="s">
        <v>65</v>
      </c>
      <c r="C126" s="941" t="s">
        <v>60</v>
      </c>
      <c r="D126" s="923" t="s">
        <v>60</v>
      </c>
      <c r="E126" s="923" t="s">
        <v>23</v>
      </c>
      <c r="F126" s="936">
        <v>1315</v>
      </c>
      <c r="G126" s="934">
        <v>81</v>
      </c>
      <c r="H126" s="939">
        <v>0</v>
      </c>
      <c r="I126" s="927">
        <f t="shared" si="8"/>
        <v>2.8148277977390239E-3</v>
      </c>
      <c r="J126" s="926">
        <v>3708575</v>
      </c>
      <c r="K126" s="926">
        <v>10439</v>
      </c>
      <c r="L126" s="926">
        <v>90992</v>
      </c>
      <c r="M126" s="926">
        <f t="shared" si="7"/>
        <v>3607144</v>
      </c>
      <c r="N126" s="929" t="s">
        <v>183</v>
      </c>
      <c r="O126" s="928">
        <f>2359281000</f>
        <v>2359281000</v>
      </c>
      <c r="P126" s="922"/>
      <c r="Q126" s="118"/>
      <c r="R126" s="118"/>
      <c r="S126" s="118"/>
      <c r="T126" s="118"/>
      <c r="U126" s="651"/>
      <c r="V126" s="668"/>
      <c r="W126" s="669"/>
    </row>
    <row r="127" spans="1:23" s="489" customFormat="1" ht="33.75" customHeight="1">
      <c r="A127" s="924">
        <v>117</v>
      </c>
      <c r="B127" s="947" t="s">
        <v>68</v>
      </c>
      <c r="C127" s="941" t="s">
        <v>60</v>
      </c>
      <c r="D127" s="923" t="s">
        <v>60</v>
      </c>
      <c r="E127" s="923" t="s">
        <v>23</v>
      </c>
      <c r="F127" s="936">
        <v>1313</v>
      </c>
      <c r="G127" s="934">
        <v>81</v>
      </c>
      <c r="H127" s="939">
        <v>0</v>
      </c>
      <c r="I127" s="927">
        <f t="shared" si="8"/>
        <v>1.6245418414725953E-2</v>
      </c>
      <c r="J127" s="926">
        <v>3403298</v>
      </c>
      <c r="K127" s="926">
        <v>55288</v>
      </c>
      <c r="L127" s="926">
        <v>99881</v>
      </c>
      <c r="M127" s="926">
        <f t="shared" si="7"/>
        <v>3248129</v>
      </c>
      <c r="N127" s="929" t="s">
        <v>183</v>
      </c>
      <c r="O127" s="928">
        <f>2211885000</f>
        <v>2211885000</v>
      </c>
      <c r="P127" s="922"/>
      <c r="Q127" s="118"/>
      <c r="R127" s="118"/>
      <c r="S127" s="118"/>
      <c r="T127" s="118"/>
      <c r="U127" s="651"/>
      <c r="V127" s="668"/>
      <c r="W127" s="669"/>
    </row>
    <row r="128" spans="1:23" s="489" customFormat="1" ht="34.5" customHeight="1">
      <c r="A128" s="924">
        <v>118</v>
      </c>
      <c r="B128" s="990" t="s">
        <v>70</v>
      </c>
      <c r="C128" s="929" t="s">
        <v>60</v>
      </c>
      <c r="D128" s="929" t="s">
        <v>60</v>
      </c>
      <c r="E128" s="1013" t="s">
        <v>23</v>
      </c>
      <c r="F128" s="1014">
        <v>1314</v>
      </c>
      <c r="G128" s="928">
        <v>81</v>
      </c>
      <c r="H128" s="927">
        <v>0</v>
      </c>
      <c r="I128" s="927">
        <f t="shared" si="8"/>
        <v>1.2801592560724466E-2</v>
      </c>
      <c r="J128" s="926">
        <v>3276233</v>
      </c>
      <c r="K128" s="926">
        <v>41941</v>
      </c>
      <c r="L128" s="926">
        <v>53457</v>
      </c>
      <c r="M128" s="926">
        <f t="shared" si="7"/>
        <v>3180835</v>
      </c>
      <c r="N128" s="929" t="s">
        <v>183</v>
      </c>
      <c r="O128" s="928">
        <v>2143122000</v>
      </c>
      <c r="P128" s="922"/>
      <c r="Q128" s="118"/>
      <c r="R128" s="118"/>
      <c r="S128" s="118"/>
      <c r="T128" s="118"/>
      <c r="U128" s="651"/>
      <c r="V128" s="668"/>
      <c r="W128" s="669"/>
    </row>
    <row r="129" spans="1:23" s="489" customFormat="1" ht="33" customHeight="1">
      <c r="A129" s="924">
        <v>119</v>
      </c>
      <c r="B129" s="947" t="s">
        <v>244</v>
      </c>
      <c r="C129" s="930" t="s">
        <v>41</v>
      </c>
      <c r="D129" s="931" t="s">
        <v>448</v>
      </c>
      <c r="E129" s="945" t="s">
        <v>23</v>
      </c>
      <c r="F129" s="936">
        <v>1356</v>
      </c>
      <c r="G129" s="934">
        <v>81</v>
      </c>
      <c r="H129" s="939">
        <v>0</v>
      </c>
      <c r="I129" s="927">
        <f t="shared" si="8"/>
        <v>3.2220365455399371E-4</v>
      </c>
      <c r="J129" s="926">
        <v>183114</v>
      </c>
      <c r="K129" s="926">
        <v>59</v>
      </c>
      <c r="L129" s="926">
        <v>349</v>
      </c>
      <c r="M129" s="926">
        <f t="shared" si="7"/>
        <v>182706</v>
      </c>
      <c r="N129" s="929" t="s">
        <v>66</v>
      </c>
      <c r="O129" s="928">
        <f>179983.04*1000</f>
        <v>179983040</v>
      </c>
      <c r="P129" s="1005"/>
      <c r="Q129" s="12"/>
      <c r="R129" s="12"/>
      <c r="S129" s="12"/>
      <c r="T129" s="12"/>
      <c r="U129" s="651"/>
      <c r="V129" s="668"/>
      <c r="W129" s="669"/>
    </row>
    <row r="130" spans="1:23" s="489" customFormat="1" ht="31.5" customHeight="1">
      <c r="A130" s="924">
        <v>120</v>
      </c>
      <c r="B130" s="1015" t="s">
        <v>308</v>
      </c>
      <c r="C130" s="941" t="s">
        <v>21</v>
      </c>
      <c r="D130" s="929" t="s">
        <v>22</v>
      </c>
      <c r="E130" s="923" t="s">
        <v>23</v>
      </c>
      <c r="F130" s="948">
        <v>278</v>
      </c>
      <c r="G130" s="934">
        <v>81</v>
      </c>
      <c r="H130" s="939">
        <v>0.89</v>
      </c>
      <c r="I130" s="927">
        <f t="shared" si="8"/>
        <v>0.77053106640349966</v>
      </c>
      <c r="J130" s="926">
        <v>173274</v>
      </c>
      <c r="K130" s="926">
        <v>133513</v>
      </c>
      <c r="L130" s="926">
        <v>7502</v>
      </c>
      <c r="M130" s="926">
        <f t="shared" si="7"/>
        <v>32259</v>
      </c>
      <c r="N130" s="929" t="s">
        <v>66</v>
      </c>
      <c r="O130" s="928" t="s">
        <v>264</v>
      </c>
      <c r="P130" s="963"/>
      <c r="Q130" s="651"/>
      <c r="R130" s="651"/>
      <c r="S130" s="651"/>
      <c r="T130" s="651"/>
      <c r="U130" s="651"/>
      <c r="V130" s="668"/>
      <c r="W130" s="669"/>
    </row>
    <row r="131" spans="1:23" s="489" customFormat="1" ht="189" customHeight="1">
      <c r="A131" s="924">
        <v>121</v>
      </c>
      <c r="B131" s="922" t="s">
        <v>815</v>
      </c>
      <c r="C131" s="930" t="s">
        <v>41</v>
      </c>
      <c r="D131" s="931" t="s">
        <v>561</v>
      </c>
      <c r="E131" s="923" t="s">
        <v>23</v>
      </c>
      <c r="F131" s="936">
        <v>1292</v>
      </c>
      <c r="G131" s="926">
        <v>80</v>
      </c>
      <c r="H131" s="937">
        <v>0.33329999999999999</v>
      </c>
      <c r="I131" s="937">
        <f t="shared" si="8"/>
        <v>0.33826253621339897</v>
      </c>
      <c r="J131" s="926">
        <v>9161319</v>
      </c>
      <c r="K131" s="926">
        <v>3098931</v>
      </c>
      <c r="L131" s="926">
        <v>78662</v>
      </c>
      <c r="M131" s="926">
        <f t="shared" si="7"/>
        <v>5983726</v>
      </c>
      <c r="N131" s="929">
        <v>2030</v>
      </c>
      <c r="O131" s="928">
        <f>1588.32*1000000</f>
        <v>1588320000</v>
      </c>
      <c r="P131" s="1069" t="s">
        <v>562</v>
      </c>
      <c r="Q131" s="651"/>
      <c r="R131" s="651"/>
      <c r="S131" s="651"/>
      <c r="T131" s="651"/>
      <c r="U131" s="651"/>
      <c r="V131" s="668"/>
      <c r="W131" s="669"/>
    </row>
    <row r="132" spans="1:23" s="489" customFormat="1" ht="126" customHeight="1">
      <c r="A132" s="924">
        <v>122</v>
      </c>
      <c r="B132" s="1012" t="s">
        <v>563</v>
      </c>
      <c r="C132" s="952" t="s">
        <v>107</v>
      </c>
      <c r="D132" s="923" t="s">
        <v>564</v>
      </c>
      <c r="E132" s="923" t="s">
        <v>29</v>
      </c>
      <c r="F132" s="948">
        <v>1108</v>
      </c>
      <c r="G132" s="934">
        <v>80</v>
      </c>
      <c r="H132" s="939">
        <v>0</v>
      </c>
      <c r="I132" s="927">
        <v>0</v>
      </c>
      <c r="J132" s="928">
        <v>480490</v>
      </c>
      <c r="K132" s="928">
        <v>0</v>
      </c>
      <c r="L132" s="926">
        <v>0</v>
      </c>
      <c r="M132" s="926">
        <f t="shared" si="7"/>
        <v>480490</v>
      </c>
      <c r="N132" s="929" t="s">
        <v>66</v>
      </c>
      <c r="O132" s="928">
        <f>186220937/5</f>
        <v>37244187.399999999</v>
      </c>
      <c r="P132" s="994" t="s">
        <v>565</v>
      </c>
      <c r="Q132" s="650"/>
      <c r="R132" s="651"/>
      <c r="S132" s="651"/>
      <c r="T132" s="651"/>
      <c r="U132" s="651"/>
      <c r="V132" s="668"/>
      <c r="W132" s="669"/>
    </row>
    <row r="133" spans="1:23" s="489" customFormat="1" ht="46.5" customHeight="1">
      <c r="A133" s="924">
        <v>123</v>
      </c>
      <c r="B133" s="922" t="s">
        <v>341</v>
      </c>
      <c r="C133" s="930" t="s">
        <v>41</v>
      </c>
      <c r="D133" s="931" t="s">
        <v>566</v>
      </c>
      <c r="E133" s="923" t="s">
        <v>23</v>
      </c>
      <c r="F133" s="936">
        <v>390</v>
      </c>
      <c r="G133" s="934">
        <v>80</v>
      </c>
      <c r="H133" s="927">
        <v>0.37</v>
      </c>
      <c r="I133" s="927">
        <f>K133/J133</f>
        <v>0.36673580511407844</v>
      </c>
      <c r="J133" s="926">
        <v>1538459</v>
      </c>
      <c r="K133" s="926">
        <v>564208</v>
      </c>
      <c r="L133" s="926">
        <v>0</v>
      </c>
      <c r="M133" s="926">
        <f t="shared" si="7"/>
        <v>974251</v>
      </c>
      <c r="N133" s="929" t="s">
        <v>284</v>
      </c>
      <c r="O133" s="928">
        <f>109464906.95/5</f>
        <v>21892981.390000001</v>
      </c>
      <c r="P133" s="963"/>
      <c r="Q133" s="651"/>
      <c r="R133" s="651"/>
      <c r="S133" s="651"/>
      <c r="T133" s="651"/>
      <c r="U133" s="651"/>
      <c r="V133" s="668"/>
      <c r="W133" s="669"/>
    </row>
    <row r="134" spans="1:23" s="489" customFormat="1" ht="89.25">
      <c r="A134" s="924">
        <v>124</v>
      </c>
      <c r="B134" s="922" t="s">
        <v>172</v>
      </c>
      <c r="C134" s="952" t="s">
        <v>107</v>
      </c>
      <c r="D134" s="923" t="s">
        <v>567</v>
      </c>
      <c r="E134" s="923" t="s">
        <v>23</v>
      </c>
      <c r="F134" s="936">
        <v>1107</v>
      </c>
      <c r="G134" s="934">
        <v>80</v>
      </c>
      <c r="H134" s="939">
        <v>0.37</v>
      </c>
      <c r="I134" s="927">
        <f>K134/J134</f>
        <v>6.79711986446421E-2</v>
      </c>
      <c r="J134" s="926">
        <v>118050</v>
      </c>
      <c r="K134" s="926">
        <v>8024</v>
      </c>
      <c r="L134" s="926">
        <v>37124</v>
      </c>
      <c r="M134" s="926">
        <f t="shared" si="7"/>
        <v>72902</v>
      </c>
      <c r="N134" s="929" t="s">
        <v>74</v>
      </c>
      <c r="O134" s="928">
        <f>79946864/5</f>
        <v>15989372.800000001</v>
      </c>
      <c r="P134" s="1011" t="s">
        <v>467</v>
      </c>
      <c r="Q134" s="650"/>
      <c r="R134" s="651"/>
      <c r="S134" s="651"/>
      <c r="T134" s="651"/>
      <c r="U134" s="651"/>
      <c r="V134" s="668"/>
      <c r="W134" s="669"/>
    </row>
    <row r="135" spans="1:23" s="489" customFormat="1" ht="114.75" customHeight="1">
      <c r="A135" s="924">
        <v>125</v>
      </c>
      <c r="B135" s="922" t="s">
        <v>179</v>
      </c>
      <c r="C135" s="989" t="s">
        <v>107</v>
      </c>
      <c r="D135" s="995" t="s">
        <v>568</v>
      </c>
      <c r="E135" s="923" t="s">
        <v>29</v>
      </c>
      <c r="F135" s="936">
        <v>1108</v>
      </c>
      <c r="G135" s="934">
        <v>80</v>
      </c>
      <c r="H135" s="939">
        <v>0</v>
      </c>
      <c r="I135" s="927">
        <f>K135/J135</f>
        <v>0</v>
      </c>
      <c r="J135" s="926">
        <v>130205</v>
      </c>
      <c r="K135" s="926">
        <v>0</v>
      </c>
      <c r="L135" s="926">
        <v>0</v>
      </c>
      <c r="M135" s="926">
        <f t="shared" si="7"/>
        <v>130205</v>
      </c>
      <c r="N135" s="929" t="s">
        <v>24</v>
      </c>
      <c r="O135" s="928">
        <f>39954005/5</f>
        <v>7990801</v>
      </c>
      <c r="P135" s="1011" t="s">
        <v>181</v>
      </c>
      <c r="Q135" s="650"/>
      <c r="R135" s="651"/>
      <c r="S135" s="651"/>
      <c r="T135" s="651"/>
      <c r="U135" s="651"/>
      <c r="V135" s="668"/>
      <c r="W135" s="669"/>
    </row>
    <row r="136" spans="1:23" s="489" customFormat="1" ht="132.75" customHeight="1">
      <c r="A136" s="924">
        <v>126</v>
      </c>
      <c r="B136" s="1012" t="s">
        <v>569</v>
      </c>
      <c r="C136" s="952" t="s">
        <v>107</v>
      </c>
      <c r="D136" s="922" t="s">
        <v>570</v>
      </c>
      <c r="E136" s="923" t="s">
        <v>29</v>
      </c>
      <c r="F136" s="948">
        <v>1108</v>
      </c>
      <c r="G136" s="934">
        <v>80</v>
      </c>
      <c r="H136" s="939">
        <v>0</v>
      </c>
      <c r="I136" s="927">
        <v>0</v>
      </c>
      <c r="J136" s="928">
        <v>494810</v>
      </c>
      <c r="K136" s="928">
        <v>0</v>
      </c>
      <c r="L136" s="926">
        <v>0</v>
      </c>
      <c r="M136" s="926">
        <f t="shared" si="7"/>
        <v>494810</v>
      </c>
      <c r="N136" s="929" t="s">
        <v>66</v>
      </c>
      <c r="O136" s="928">
        <f>33717572.3/5</f>
        <v>6743514.459999999</v>
      </c>
      <c r="P136" s="994" t="s">
        <v>571</v>
      </c>
      <c r="Q136" s="650"/>
      <c r="R136" s="651"/>
      <c r="S136" s="651"/>
      <c r="T136" s="651"/>
      <c r="U136" s="651"/>
      <c r="V136" s="668"/>
      <c r="W136" s="669"/>
    </row>
    <row r="137" spans="1:23" s="489" customFormat="1" ht="127.5">
      <c r="A137" s="924">
        <v>127</v>
      </c>
      <c r="B137" s="1012" t="s">
        <v>572</v>
      </c>
      <c r="C137" s="952" t="s">
        <v>107</v>
      </c>
      <c r="D137" s="923" t="s">
        <v>573</v>
      </c>
      <c r="E137" s="923" t="s">
        <v>29</v>
      </c>
      <c r="F137" s="948">
        <v>1108</v>
      </c>
      <c r="G137" s="934">
        <v>80</v>
      </c>
      <c r="H137" s="939">
        <v>0</v>
      </c>
      <c r="I137" s="927">
        <f t="shared" ref="I137:I155" si="9">K137/J137</f>
        <v>0</v>
      </c>
      <c r="J137" s="928">
        <v>314731</v>
      </c>
      <c r="K137" s="928">
        <v>0</v>
      </c>
      <c r="L137" s="923">
        <v>0</v>
      </c>
      <c r="M137" s="928">
        <f t="shared" si="7"/>
        <v>314731</v>
      </c>
      <c r="N137" s="929" t="s">
        <v>66</v>
      </c>
      <c r="O137" s="928">
        <f>118300/5</f>
        <v>23660</v>
      </c>
      <c r="P137" s="994" t="s">
        <v>574</v>
      </c>
      <c r="Q137" s="650"/>
      <c r="R137" s="651"/>
      <c r="S137" s="651"/>
      <c r="T137" s="651"/>
      <c r="U137" s="651"/>
      <c r="V137" s="668"/>
      <c r="W137" s="669"/>
    </row>
    <row r="138" spans="1:23" s="489" customFormat="1" ht="195" customHeight="1">
      <c r="A138" s="924">
        <v>128</v>
      </c>
      <c r="B138" s="949" t="s">
        <v>575</v>
      </c>
      <c r="C138" s="1007" t="s">
        <v>107</v>
      </c>
      <c r="D138" s="949" t="s">
        <v>576</v>
      </c>
      <c r="E138" s="923" t="s">
        <v>29</v>
      </c>
      <c r="F138" s="936">
        <v>1108</v>
      </c>
      <c r="G138" s="934">
        <v>80</v>
      </c>
      <c r="H138" s="927">
        <v>0</v>
      </c>
      <c r="I138" s="927">
        <f t="shared" si="9"/>
        <v>0</v>
      </c>
      <c r="J138" s="943">
        <v>191657</v>
      </c>
      <c r="K138" s="943">
        <v>0</v>
      </c>
      <c r="L138" s="943">
        <v>0</v>
      </c>
      <c r="M138" s="926">
        <f t="shared" si="7"/>
        <v>191657</v>
      </c>
      <c r="N138" s="929" t="s">
        <v>66</v>
      </c>
      <c r="O138" s="928">
        <f>62574270/5</f>
        <v>12514854</v>
      </c>
      <c r="P138" s="994" t="s">
        <v>577</v>
      </c>
      <c r="Q138" s="118"/>
      <c r="R138" s="12"/>
      <c r="S138" s="12"/>
      <c r="T138" s="12"/>
      <c r="U138" s="651"/>
      <c r="V138" s="668"/>
      <c r="W138" s="669"/>
    </row>
    <row r="139" spans="1:23" s="489" customFormat="1" ht="98.25" customHeight="1">
      <c r="A139" s="924">
        <v>129</v>
      </c>
      <c r="B139" s="949" t="s">
        <v>578</v>
      </c>
      <c r="C139" s="1007" t="s">
        <v>107</v>
      </c>
      <c r="D139" s="949" t="s">
        <v>579</v>
      </c>
      <c r="E139" s="923" t="s">
        <v>29</v>
      </c>
      <c r="F139" s="936">
        <v>1108</v>
      </c>
      <c r="G139" s="934">
        <v>80</v>
      </c>
      <c r="H139" s="927">
        <v>0</v>
      </c>
      <c r="I139" s="927">
        <f t="shared" si="9"/>
        <v>0</v>
      </c>
      <c r="J139" s="943">
        <v>313786</v>
      </c>
      <c r="K139" s="943">
        <v>0</v>
      </c>
      <c r="L139" s="943">
        <v>0</v>
      </c>
      <c r="M139" s="926">
        <f t="shared" ref="M139:M169" si="10">J139-K139-L139</f>
        <v>313786</v>
      </c>
      <c r="N139" s="929" t="s">
        <v>66</v>
      </c>
      <c r="O139" s="928">
        <f>307250265/5</f>
        <v>61450053</v>
      </c>
      <c r="P139" s="994" t="s">
        <v>580</v>
      </c>
      <c r="Q139" s="118"/>
      <c r="R139" s="12"/>
      <c r="S139" s="12"/>
      <c r="T139" s="12"/>
      <c r="U139" s="651"/>
      <c r="V139" s="668"/>
      <c r="W139" s="669"/>
    </row>
    <row r="140" spans="1:23" s="489" customFormat="1" ht="108.75" customHeight="1">
      <c r="A140" s="924">
        <v>130</v>
      </c>
      <c r="B140" s="947" t="s">
        <v>63</v>
      </c>
      <c r="C140" s="923" t="s">
        <v>60</v>
      </c>
      <c r="D140" s="929" t="s">
        <v>64</v>
      </c>
      <c r="E140" s="923" t="s">
        <v>23</v>
      </c>
      <c r="F140" s="936">
        <v>1435</v>
      </c>
      <c r="G140" s="934">
        <v>79</v>
      </c>
      <c r="H140" s="939">
        <v>0</v>
      </c>
      <c r="I140" s="927">
        <f t="shared" si="9"/>
        <v>6.4226243100155692E-2</v>
      </c>
      <c r="J140" s="926">
        <v>487511</v>
      </c>
      <c r="K140" s="926">
        <v>31311</v>
      </c>
      <c r="L140" s="926">
        <v>20765</v>
      </c>
      <c r="M140" s="926">
        <f t="shared" si="10"/>
        <v>435435</v>
      </c>
      <c r="N140" s="929" t="s">
        <v>183</v>
      </c>
      <c r="O140" s="928">
        <v>15188000000</v>
      </c>
      <c r="P140" s="947" t="s">
        <v>62</v>
      </c>
      <c r="Q140" s="118"/>
      <c r="R140" s="118"/>
      <c r="S140" s="118"/>
      <c r="T140" s="118"/>
      <c r="U140" s="651"/>
      <c r="V140" s="668"/>
      <c r="W140" s="669"/>
    </row>
    <row r="141" spans="1:23" s="489" customFormat="1" ht="102">
      <c r="A141" s="924">
        <v>131</v>
      </c>
      <c r="B141" s="947" t="s">
        <v>128</v>
      </c>
      <c r="C141" s="941" t="s">
        <v>60</v>
      </c>
      <c r="D141" s="923" t="s">
        <v>129</v>
      </c>
      <c r="E141" s="923" t="s">
        <v>23</v>
      </c>
      <c r="F141" s="936">
        <v>1436</v>
      </c>
      <c r="G141" s="934">
        <v>79</v>
      </c>
      <c r="H141" s="939">
        <v>0</v>
      </c>
      <c r="I141" s="927">
        <f t="shared" si="9"/>
        <v>0</v>
      </c>
      <c r="J141" s="926">
        <v>396483</v>
      </c>
      <c r="K141" s="926">
        <v>0</v>
      </c>
      <c r="L141" s="926">
        <v>48922</v>
      </c>
      <c r="M141" s="926">
        <f t="shared" si="10"/>
        <v>347561</v>
      </c>
      <c r="N141" s="929" t="s">
        <v>183</v>
      </c>
      <c r="O141" s="928">
        <f>15.188*1000000</f>
        <v>15188000</v>
      </c>
      <c r="P141" s="947" t="s">
        <v>130</v>
      </c>
      <c r="Q141" s="118"/>
      <c r="R141" s="118"/>
      <c r="S141" s="118"/>
      <c r="T141" s="118"/>
      <c r="U141" s="651"/>
      <c r="V141" s="668"/>
      <c r="W141" s="669"/>
    </row>
    <row r="142" spans="1:23" s="489" customFormat="1" ht="25.5">
      <c r="A142" s="924">
        <v>132</v>
      </c>
      <c r="B142" s="947" t="s">
        <v>222</v>
      </c>
      <c r="C142" s="923" t="s">
        <v>223</v>
      </c>
      <c r="D142" s="929" t="s">
        <v>223</v>
      </c>
      <c r="E142" s="923" t="s">
        <v>23</v>
      </c>
      <c r="F142" s="948">
        <v>1376</v>
      </c>
      <c r="G142" s="934">
        <v>79</v>
      </c>
      <c r="H142" s="939">
        <v>0</v>
      </c>
      <c r="I142" s="927">
        <f t="shared" si="9"/>
        <v>2.4838236485209549E-2</v>
      </c>
      <c r="J142" s="926">
        <v>111119</v>
      </c>
      <c r="K142" s="926">
        <v>2760</v>
      </c>
      <c r="L142" s="926">
        <v>7127</v>
      </c>
      <c r="M142" s="926">
        <f t="shared" si="10"/>
        <v>101232</v>
      </c>
      <c r="N142" s="929" t="s">
        <v>24</v>
      </c>
      <c r="O142" s="928">
        <f>14477896.81/5</f>
        <v>2895579.3620000002</v>
      </c>
      <c r="P142" s="963"/>
      <c r="Q142" s="649"/>
      <c r="R142" s="649"/>
      <c r="S142" s="649"/>
      <c r="T142" s="649"/>
      <c r="U142" s="651"/>
      <c r="V142" s="668"/>
      <c r="W142" s="669"/>
    </row>
    <row r="143" spans="1:23" s="489" customFormat="1" ht="28.5" customHeight="1">
      <c r="A143" s="924">
        <v>133</v>
      </c>
      <c r="B143" s="947" t="s">
        <v>231</v>
      </c>
      <c r="C143" s="923" t="s">
        <v>60</v>
      </c>
      <c r="D143" s="929" t="s">
        <v>232</v>
      </c>
      <c r="E143" s="923" t="s">
        <v>23</v>
      </c>
      <c r="F143" s="948">
        <v>1139</v>
      </c>
      <c r="G143" s="934">
        <v>79</v>
      </c>
      <c r="H143" s="937">
        <v>0</v>
      </c>
      <c r="I143" s="927">
        <f t="shared" si="9"/>
        <v>2.0832068549820905E-3</v>
      </c>
      <c r="J143" s="926">
        <v>1153030</v>
      </c>
      <c r="K143" s="926">
        <v>2402</v>
      </c>
      <c r="L143" s="926">
        <v>202580</v>
      </c>
      <c r="M143" s="926">
        <f t="shared" si="10"/>
        <v>948048</v>
      </c>
      <c r="N143" s="929" t="s">
        <v>183</v>
      </c>
      <c r="O143" s="928">
        <f>3081486730/5</f>
        <v>616297346</v>
      </c>
      <c r="P143" s="922"/>
      <c r="Q143" s="650"/>
      <c r="R143" s="650"/>
      <c r="S143" s="650"/>
      <c r="T143" s="650"/>
      <c r="U143" s="651"/>
      <c r="V143" s="668"/>
      <c r="W143" s="669"/>
    </row>
    <row r="144" spans="1:23" s="489" customFormat="1" ht="125.25" customHeight="1">
      <c r="A144" s="924">
        <v>134</v>
      </c>
      <c r="B144" s="922" t="s">
        <v>241</v>
      </c>
      <c r="C144" s="930" t="s">
        <v>41</v>
      </c>
      <c r="D144" s="940" t="s">
        <v>448</v>
      </c>
      <c r="E144" s="923" t="s">
        <v>23</v>
      </c>
      <c r="F144" s="936">
        <v>1287</v>
      </c>
      <c r="G144" s="934">
        <v>79</v>
      </c>
      <c r="H144" s="939">
        <v>0</v>
      </c>
      <c r="I144" s="927">
        <f t="shared" si="9"/>
        <v>5.2057709863460111E-3</v>
      </c>
      <c r="J144" s="974">
        <v>2632271</v>
      </c>
      <c r="K144" s="926">
        <v>13703</v>
      </c>
      <c r="L144" s="926">
        <v>144262</v>
      </c>
      <c r="M144" s="926">
        <f t="shared" si="10"/>
        <v>2474306</v>
      </c>
      <c r="N144" s="929" t="s">
        <v>581</v>
      </c>
      <c r="O144" s="938">
        <f>2644*1000000</f>
        <v>2644000000</v>
      </c>
      <c r="P144" s="1005"/>
      <c r="Q144" s="651"/>
      <c r="R144" s="651"/>
      <c r="S144" s="651"/>
      <c r="T144" s="651"/>
      <c r="U144" s="651"/>
      <c r="V144" s="668"/>
      <c r="W144" s="669"/>
    </row>
    <row r="145" spans="1:23" s="489" customFormat="1" ht="52.5" customHeight="1">
      <c r="A145" s="924">
        <v>135</v>
      </c>
      <c r="B145" s="922" t="s">
        <v>235</v>
      </c>
      <c r="C145" s="941" t="s">
        <v>223</v>
      </c>
      <c r="D145" s="923" t="s">
        <v>223</v>
      </c>
      <c r="E145" s="923" t="s">
        <v>23</v>
      </c>
      <c r="F145" s="936">
        <v>1445</v>
      </c>
      <c r="G145" s="934">
        <v>79</v>
      </c>
      <c r="H145" s="939">
        <v>0</v>
      </c>
      <c r="I145" s="927">
        <f t="shared" si="9"/>
        <v>1.1744518589132508E-3</v>
      </c>
      <c r="J145" s="926">
        <v>262250</v>
      </c>
      <c r="K145" s="926">
        <v>308</v>
      </c>
      <c r="L145" s="926">
        <v>75000</v>
      </c>
      <c r="M145" s="926">
        <f t="shared" si="10"/>
        <v>186942</v>
      </c>
      <c r="N145" s="929" t="s">
        <v>24</v>
      </c>
      <c r="O145" s="928">
        <f>45584946/5</f>
        <v>9116989.1999999993</v>
      </c>
      <c r="P145" s="963" t="s">
        <v>582</v>
      </c>
      <c r="Q145" s="651"/>
      <c r="R145" s="651"/>
      <c r="S145" s="651"/>
      <c r="T145" s="651"/>
      <c r="U145" s="651"/>
      <c r="V145" s="668"/>
      <c r="W145" s="669"/>
    </row>
    <row r="146" spans="1:23" s="489" customFormat="1" ht="130.5" customHeight="1">
      <c r="A146" s="924">
        <v>136</v>
      </c>
      <c r="B146" s="922" t="s">
        <v>233</v>
      </c>
      <c r="C146" s="952" t="s">
        <v>107</v>
      </c>
      <c r="D146" s="947" t="s">
        <v>583</v>
      </c>
      <c r="E146" s="923" t="s">
        <v>23</v>
      </c>
      <c r="F146" s="936">
        <v>1107</v>
      </c>
      <c r="G146" s="934">
        <v>79</v>
      </c>
      <c r="H146" s="939">
        <v>0.01</v>
      </c>
      <c r="I146" s="927">
        <f t="shared" si="9"/>
        <v>2.3195976643599962E-2</v>
      </c>
      <c r="J146" s="926">
        <v>642051</v>
      </c>
      <c r="K146" s="926">
        <v>14893</v>
      </c>
      <c r="L146" s="926">
        <v>13375</v>
      </c>
      <c r="M146" s="926">
        <f t="shared" si="10"/>
        <v>613783</v>
      </c>
      <c r="N146" s="929" t="s">
        <v>66</v>
      </c>
      <c r="O146" s="928">
        <f>491652633.7/5</f>
        <v>98330526.739999995</v>
      </c>
      <c r="P146" s="994" t="s">
        <v>584</v>
      </c>
      <c r="Q146" s="650"/>
      <c r="R146" s="651"/>
      <c r="S146" s="651"/>
      <c r="T146" s="651"/>
      <c r="U146" s="651"/>
      <c r="V146" s="668"/>
      <c r="W146" s="669"/>
    </row>
    <row r="147" spans="1:23" s="489" customFormat="1" ht="102" customHeight="1">
      <c r="A147" s="924">
        <v>137</v>
      </c>
      <c r="B147" s="1012" t="s">
        <v>585</v>
      </c>
      <c r="C147" s="952" t="s">
        <v>107</v>
      </c>
      <c r="D147" s="923" t="s">
        <v>117</v>
      </c>
      <c r="E147" s="923" t="s">
        <v>29</v>
      </c>
      <c r="F147" s="948">
        <v>1108</v>
      </c>
      <c r="G147" s="934">
        <v>78</v>
      </c>
      <c r="H147" s="939">
        <v>0</v>
      </c>
      <c r="I147" s="927">
        <f t="shared" si="9"/>
        <v>0</v>
      </c>
      <c r="J147" s="928">
        <v>110268</v>
      </c>
      <c r="K147" s="928">
        <v>0</v>
      </c>
      <c r="L147" s="926">
        <v>12</v>
      </c>
      <c r="M147" s="926">
        <f t="shared" si="10"/>
        <v>110256</v>
      </c>
      <c r="N147" s="929" t="s">
        <v>24</v>
      </c>
      <c r="O147" s="928">
        <f>17725678/5</f>
        <v>3545135.6</v>
      </c>
      <c r="P147" s="994" t="s">
        <v>586</v>
      </c>
      <c r="Q147" s="650"/>
      <c r="R147" s="651"/>
      <c r="S147" s="651"/>
      <c r="T147" s="651"/>
      <c r="U147" s="651"/>
      <c r="V147" s="668"/>
      <c r="W147" s="669"/>
    </row>
    <row r="148" spans="1:23" s="43" customFormat="1" ht="54.75" customHeight="1">
      <c r="A148" s="924">
        <v>138</v>
      </c>
      <c r="B148" s="1015" t="s">
        <v>261</v>
      </c>
      <c r="C148" s="941" t="s">
        <v>21</v>
      </c>
      <c r="D148" s="929" t="s">
        <v>22</v>
      </c>
      <c r="E148" s="923" t="s">
        <v>23</v>
      </c>
      <c r="F148" s="948">
        <v>298</v>
      </c>
      <c r="G148" s="926">
        <v>78</v>
      </c>
      <c r="H148" s="927">
        <v>0.50700000000000001</v>
      </c>
      <c r="I148" s="927">
        <f t="shared" si="9"/>
        <v>0.50748072967173141</v>
      </c>
      <c r="J148" s="926">
        <v>765166</v>
      </c>
      <c r="K148" s="926">
        <v>388307</v>
      </c>
      <c r="L148" s="926">
        <v>0</v>
      </c>
      <c r="M148" s="926">
        <f t="shared" si="10"/>
        <v>376859</v>
      </c>
      <c r="N148" s="929" t="s">
        <v>183</v>
      </c>
      <c r="O148" s="928">
        <v>429604</v>
      </c>
      <c r="P148" s="972" t="s">
        <v>262</v>
      </c>
      <c r="Q148" s="651"/>
      <c r="R148" s="651"/>
      <c r="S148" s="651"/>
      <c r="T148" s="651"/>
      <c r="U148" s="12"/>
      <c r="V148" s="12"/>
      <c r="W148" s="12"/>
    </row>
    <row r="149" spans="1:23" s="43" customFormat="1" ht="54" customHeight="1">
      <c r="A149" s="924">
        <v>139</v>
      </c>
      <c r="B149" s="947" t="s">
        <v>331</v>
      </c>
      <c r="C149" s="930" t="s">
        <v>41</v>
      </c>
      <c r="D149" s="931" t="s">
        <v>448</v>
      </c>
      <c r="E149" s="923" t="s">
        <v>23</v>
      </c>
      <c r="F149" s="936">
        <v>1242</v>
      </c>
      <c r="G149" s="934">
        <v>78</v>
      </c>
      <c r="H149" s="927">
        <v>0.95</v>
      </c>
      <c r="I149" s="927">
        <f t="shared" si="9"/>
        <v>0.57237257664836505</v>
      </c>
      <c r="J149" s="926">
        <v>226391</v>
      </c>
      <c r="K149" s="926">
        <v>129580</v>
      </c>
      <c r="L149" s="926">
        <v>43000</v>
      </c>
      <c r="M149" s="926">
        <f t="shared" si="10"/>
        <v>53811</v>
      </c>
      <c r="N149" s="929" t="s">
        <v>489</v>
      </c>
      <c r="O149" s="928">
        <v>97009404</v>
      </c>
      <c r="P149" s="1005"/>
      <c r="Q149" s="12"/>
      <c r="R149" s="12"/>
      <c r="S149" s="12"/>
      <c r="T149" s="12"/>
      <c r="U149" s="12"/>
      <c r="V149" s="12"/>
      <c r="W149" s="12"/>
    </row>
    <row r="150" spans="1:23" s="43" customFormat="1" ht="150" customHeight="1">
      <c r="A150" s="924">
        <v>140</v>
      </c>
      <c r="B150" s="922" t="s">
        <v>272</v>
      </c>
      <c r="C150" s="930" t="s">
        <v>41</v>
      </c>
      <c r="D150" s="931" t="s">
        <v>448</v>
      </c>
      <c r="E150" s="923" t="s">
        <v>23</v>
      </c>
      <c r="F150" s="936">
        <v>369</v>
      </c>
      <c r="G150" s="926">
        <v>77</v>
      </c>
      <c r="H150" s="1016">
        <v>0.5373</v>
      </c>
      <c r="I150" s="935">
        <f t="shared" si="9"/>
        <v>0.30416006466222328</v>
      </c>
      <c r="J150" s="926">
        <v>779435</v>
      </c>
      <c r="K150" s="926">
        <v>237073</v>
      </c>
      <c r="L150" s="926">
        <v>7737</v>
      </c>
      <c r="M150" s="926">
        <f t="shared" si="10"/>
        <v>534625</v>
      </c>
      <c r="N150" s="929" t="s">
        <v>587</v>
      </c>
      <c r="O150" s="938" t="s">
        <v>274</v>
      </c>
      <c r="P150" s="1005"/>
      <c r="Q150" s="651"/>
      <c r="R150" s="651"/>
      <c r="S150" s="651"/>
      <c r="T150" s="651"/>
      <c r="U150" s="12"/>
      <c r="V150" s="12"/>
      <c r="W150" s="12"/>
    </row>
    <row r="151" spans="1:23" s="43" customFormat="1" ht="56.25" customHeight="1">
      <c r="A151" s="924">
        <v>141</v>
      </c>
      <c r="B151" s="922" t="s">
        <v>282</v>
      </c>
      <c r="C151" s="930" t="s">
        <v>41</v>
      </c>
      <c r="D151" s="931" t="s">
        <v>367</v>
      </c>
      <c r="E151" s="923" t="s">
        <v>23</v>
      </c>
      <c r="F151" s="936">
        <v>343</v>
      </c>
      <c r="G151" s="934">
        <v>77</v>
      </c>
      <c r="H151" s="939" t="s">
        <v>283</v>
      </c>
      <c r="I151" s="937">
        <f t="shared" si="9"/>
        <v>7.3905530780535522E-2</v>
      </c>
      <c r="J151" s="926">
        <v>1184661</v>
      </c>
      <c r="K151" s="926">
        <f>87553+0</f>
        <v>87553</v>
      </c>
      <c r="L151" s="926">
        <v>0</v>
      </c>
      <c r="M151" s="926">
        <f t="shared" si="10"/>
        <v>1097108</v>
      </c>
      <c r="N151" s="929" t="s">
        <v>284</v>
      </c>
      <c r="O151" s="928" t="s">
        <v>264</v>
      </c>
      <c r="P151" s="963" t="s">
        <v>285</v>
      </c>
      <c r="Q151" s="651"/>
      <c r="R151" s="651"/>
      <c r="S151" s="651"/>
      <c r="T151" s="651"/>
      <c r="U151" s="12"/>
      <c r="V151" s="12"/>
      <c r="W151" s="12"/>
    </row>
    <row r="152" spans="1:23" s="118" customFormat="1" ht="131.25" customHeight="1">
      <c r="A152" s="924">
        <v>142</v>
      </c>
      <c r="B152" s="970" t="s">
        <v>265</v>
      </c>
      <c r="C152" s="930" t="s">
        <v>41</v>
      </c>
      <c r="D152" s="931" t="s">
        <v>448</v>
      </c>
      <c r="E152" s="932" t="s">
        <v>23</v>
      </c>
      <c r="F152" s="933">
        <v>1188</v>
      </c>
      <c r="G152" s="926">
        <v>77</v>
      </c>
      <c r="H152" s="927">
        <v>0.81699999999999995</v>
      </c>
      <c r="I152" s="935">
        <f t="shared" si="9"/>
        <v>0.51756594200591688</v>
      </c>
      <c r="J152" s="943">
        <v>7350474</v>
      </c>
      <c r="K152" s="943">
        <v>3804355</v>
      </c>
      <c r="L152" s="943">
        <v>478359</v>
      </c>
      <c r="M152" s="926">
        <f t="shared" si="10"/>
        <v>3067760</v>
      </c>
      <c r="N152" s="929" t="s">
        <v>588</v>
      </c>
      <c r="O152" s="1017">
        <v>10.6</v>
      </c>
      <c r="P152" s="1005"/>
      <c r="Q152" s="12"/>
      <c r="R152" s="12"/>
      <c r="S152" s="12"/>
      <c r="T152" s="12"/>
    </row>
    <row r="153" spans="1:23" s="118" customFormat="1" ht="77.25" customHeight="1">
      <c r="A153" s="924">
        <v>143</v>
      </c>
      <c r="B153" s="1015" t="s">
        <v>323</v>
      </c>
      <c r="C153" s="941" t="s">
        <v>21</v>
      </c>
      <c r="D153" s="929" t="s">
        <v>22</v>
      </c>
      <c r="E153" s="923" t="s">
        <v>23</v>
      </c>
      <c r="F153" s="936">
        <v>272</v>
      </c>
      <c r="G153" s="934">
        <v>76</v>
      </c>
      <c r="H153" s="927">
        <v>0.45</v>
      </c>
      <c r="I153" s="927">
        <f t="shared" si="9"/>
        <v>0.24235745233314715</v>
      </c>
      <c r="J153" s="926">
        <v>132482</v>
      </c>
      <c r="K153" s="926">
        <v>32108</v>
      </c>
      <c r="L153" s="926">
        <v>500</v>
      </c>
      <c r="M153" s="926">
        <f t="shared" si="10"/>
        <v>99874</v>
      </c>
      <c r="N153" s="929" t="s">
        <v>183</v>
      </c>
      <c r="O153" s="926" t="s">
        <v>264</v>
      </c>
      <c r="P153" s="963"/>
      <c r="Q153" s="651"/>
      <c r="R153" s="651"/>
      <c r="S153" s="651"/>
      <c r="T153" s="651"/>
    </row>
    <row r="154" spans="1:23" s="43" customFormat="1" ht="106.5" customHeight="1">
      <c r="A154" s="924">
        <v>144</v>
      </c>
      <c r="B154" s="949" t="s">
        <v>589</v>
      </c>
      <c r="C154" s="1007" t="s">
        <v>107</v>
      </c>
      <c r="D154" s="949" t="s">
        <v>590</v>
      </c>
      <c r="E154" s="923" t="s">
        <v>29</v>
      </c>
      <c r="F154" s="936">
        <v>1108</v>
      </c>
      <c r="G154" s="934">
        <v>75</v>
      </c>
      <c r="H154" s="927">
        <v>0</v>
      </c>
      <c r="I154" s="927">
        <f t="shared" si="9"/>
        <v>0</v>
      </c>
      <c r="J154" s="943">
        <v>397138</v>
      </c>
      <c r="K154" s="943">
        <v>0</v>
      </c>
      <c r="L154" s="943">
        <v>0</v>
      </c>
      <c r="M154" s="926">
        <f t="shared" si="10"/>
        <v>397138</v>
      </c>
      <c r="N154" s="929" t="s">
        <v>66</v>
      </c>
      <c r="O154" s="928">
        <f>11116798/5</f>
        <v>2223359.6</v>
      </c>
      <c r="P154" s="994" t="s">
        <v>591</v>
      </c>
      <c r="Q154" s="118"/>
      <c r="R154" s="12"/>
      <c r="S154" s="12"/>
      <c r="T154" s="12"/>
      <c r="U154" s="12"/>
      <c r="V154" s="12"/>
      <c r="W154" s="12"/>
    </row>
    <row r="155" spans="1:23" s="43" customFormat="1" ht="129" customHeight="1">
      <c r="A155" s="924">
        <v>145</v>
      </c>
      <c r="B155" s="949" t="s">
        <v>592</v>
      </c>
      <c r="C155" s="1007" t="s">
        <v>107</v>
      </c>
      <c r="D155" s="949" t="s">
        <v>593</v>
      </c>
      <c r="E155" s="923" t="s">
        <v>29</v>
      </c>
      <c r="F155" s="936">
        <v>1108</v>
      </c>
      <c r="G155" s="934">
        <v>75</v>
      </c>
      <c r="H155" s="927">
        <v>0</v>
      </c>
      <c r="I155" s="927">
        <f t="shared" si="9"/>
        <v>0</v>
      </c>
      <c r="J155" s="943">
        <v>246930</v>
      </c>
      <c r="K155" s="943">
        <v>0</v>
      </c>
      <c r="L155" s="943">
        <v>0</v>
      </c>
      <c r="M155" s="926">
        <f t="shared" si="10"/>
        <v>246930</v>
      </c>
      <c r="N155" s="929" t="s">
        <v>66</v>
      </c>
      <c r="O155" s="928">
        <f>54528401/5</f>
        <v>10905680.199999999</v>
      </c>
      <c r="P155" s="994" t="s">
        <v>594</v>
      </c>
      <c r="Q155" s="118"/>
      <c r="R155" s="12"/>
      <c r="S155" s="12"/>
      <c r="T155" s="12"/>
      <c r="U155" s="12"/>
      <c r="V155" s="12"/>
      <c r="W155" s="12"/>
    </row>
    <row r="156" spans="1:23" s="43" customFormat="1" ht="60" customHeight="1">
      <c r="A156" s="924">
        <v>146</v>
      </c>
      <c r="B156" s="947" t="s">
        <v>251</v>
      </c>
      <c r="C156" s="930" t="s">
        <v>41</v>
      </c>
      <c r="D156" s="931" t="s">
        <v>54</v>
      </c>
      <c r="E156" s="975" t="s">
        <v>29</v>
      </c>
      <c r="F156" s="936" t="s">
        <v>92</v>
      </c>
      <c r="G156" s="934">
        <v>74</v>
      </c>
      <c r="H156" s="939">
        <v>0</v>
      </c>
      <c r="I156" s="927">
        <v>0</v>
      </c>
      <c r="J156" s="926">
        <v>392160</v>
      </c>
      <c r="K156" s="926">
        <v>0</v>
      </c>
      <c r="L156" s="926">
        <v>0</v>
      </c>
      <c r="M156" s="926">
        <f t="shared" si="10"/>
        <v>392160</v>
      </c>
      <c r="N156" s="929" t="s">
        <v>183</v>
      </c>
      <c r="O156" s="928">
        <f>181207*1000</f>
        <v>181207000</v>
      </c>
      <c r="P156" s="963" t="s">
        <v>545</v>
      </c>
      <c r="Q156" s="651"/>
      <c r="R156" s="651"/>
      <c r="S156" s="651"/>
      <c r="T156" s="651"/>
      <c r="U156" s="12"/>
      <c r="V156" s="12"/>
      <c r="W156" s="12"/>
    </row>
    <row r="157" spans="1:23" s="43" customFormat="1" ht="38.25">
      <c r="A157" s="924">
        <v>147</v>
      </c>
      <c r="B157" s="995" t="s">
        <v>314</v>
      </c>
      <c r="C157" s="941" t="s">
        <v>21</v>
      </c>
      <c r="D157" s="929" t="s">
        <v>22</v>
      </c>
      <c r="E157" s="923" t="s">
        <v>23</v>
      </c>
      <c r="F157" s="948">
        <v>282</v>
      </c>
      <c r="G157" s="934">
        <v>74</v>
      </c>
      <c r="H157" s="927">
        <v>0.34200000000000003</v>
      </c>
      <c r="I157" s="927">
        <f t="shared" ref="I157:I162" si="11">K157/J157</f>
        <v>9.0723251606069963E-2</v>
      </c>
      <c r="J157" s="926">
        <v>634468</v>
      </c>
      <c r="K157" s="926">
        <v>57561</v>
      </c>
      <c r="L157" s="926">
        <v>50</v>
      </c>
      <c r="M157" s="926">
        <f t="shared" si="10"/>
        <v>576857</v>
      </c>
      <c r="N157" s="929" t="s">
        <v>289</v>
      </c>
      <c r="O157" s="926">
        <f>1969749000</f>
        <v>1969749000</v>
      </c>
      <c r="P157" s="963" t="s">
        <v>315</v>
      </c>
      <c r="Q157" s="651"/>
      <c r="R157" s="651"/>
      <c r="S157" s="651"/>
      <c r="T157" s="651"/>
      <c r="U157" s="12"/>
      <c r="V157" s="12"/>
      <c r="W157" s="12"/>
    </row>
    <row r="158" spans="1:23" s="43" customFormat="1" ht="38.25">
      <c r="A158" s="924">
        <v>148</v>
      </c>
      <c r="B158" s="922" t="s">
        <v>304</v>
      </c>
      <c r="C158" s="930" t="s">
        <v>41</v>
      </c>
      <c r="D158" s="931" t="s">
        <v>367</v>
      </c>
      <c r="E158" s="923" t="s">
        <v>23</v>
      </c>
      <c r="F158" s="936">
        <v>344</v>
      </c>
      <c r="G158" s="926">
        <v>74</v>
      </c>
      <c r="H158" s="927" t="s">
        <v>305</v>
      </c>
      <c r="I158" s="927">
        <f t="shared" si="11"/>
        <v>9.7587271931751686E-3</v>
      </c>
      <c r="J158" s="926">
        <v>1083338</v>
      </c>
      <c r="K158" s="926">
        <f>10572+0</f>
        <v>10572</v>
      </c>
      <c r="L158" s="926">
        <v>0</v>
      </c>
      <c r="M158" s="926">
        <f t="shared" si="10"/>
        <v>1072766</v>
      </c>
      <c r="N158" s="929" t="s">
        <v>284</v>
      </c>
      <c r="O158" s="928" t="s">
        <v>264</v>
      </c>
      <c r="P158" s="963" t="s">
        <v>285</v>
      </c>
      <c r="Q158" s="651"/>
      <c r="R158" s="651"/>
      <c r="S158" s="651"/>
      <c r="T158" s="651"/>
      <c r="U158" s="12"/>
      <c r="V158" s="12"/>
      <c r="W158" s="12"/>
    </row>
    <row r="159" spans="1:23" s="43" customFormat="1" ht="45.75" customHeight="1">
      <c r="A159" s="924">
        <v>149</v>
      </c>
      <c r="B159" s="947" t="s">
        <v>344</v>
      </c>
      <c r="C159" s="930" t="s">
        <v>41</v>
      </c>
      <c r="D159" s="931" t="s">
        <v>448</v>
      </c>
      <c r="E159" s="923" t="s">
        <v>23</v>
      </c>
      <c r="F159" s="936">
        <v>1080</v>
      </c>
      <c r="G159" s="934">
        <v>74</v>
      </c>
      <c r="H159" s="927">
        <v>0.75</v>
      </c>
      <c r="I159" s="937">
        <f t="shared" si="11"/>
        <v>3.4664503987287547E-3</v>
      </c>
      <c r="J159" s="926">
        <v>1092472</v>
      </c>
      <c r="K159" s="926">
        <v>3787</v>
      </c>
      <c r="L159" s="926">
        <v>143</v>
      </c>
      <c r="M159" s="926">
        <f t="shared" si="10"/>
        <v>1088542</v>
      </c>
      <c r="N159" s="929" t="s">
        <v>74</v>
      </c>
      <c r="O159" s="938">
        <v>178620000</v>
      </c>
      <c r="P159" s="972" t="s">
        <v>595</v>
      </c>
      <c r="Q159" s="12"/>
      <c r="R159" s="12"/>
      <c r="S159" s="12"/>
      <c r="T159" s="12"/>
      <c r="U159" s="12"/>
      <c r="V159" s="12"/>
      <c r="W159" s="12"/>
    </row>
    <row r="160" spans="1:23" s="43" customFormat="1" ht="90">
      <c r="A160" s="924">
        <v>150</v>
      </c>
      <c r="B160" s="995" t="s">
        <v>237</v>
      </c>
      <c r="C160" s="941" t="s">
        <v>21</v>
      </c>
      <c r="D160" s="941" t="s">
        <v>22</v>
      </c>
      <c r="E160" s="924" t="s">
        <v>23</v>
      </c>
      <c r="F160" s="942">
        <v>1279</v>
      </c>
      <c r="G160" s="926">
        <v>73</v>
      </c>
      <c r="H160" s="927">
        <v>0</v>
      </c>
      <c r="I160" s="927">
        <f t="shared" si="11"/>
        <v>1.7292448894451397E-2</v>
      </c>
      <c r="J160" s="926">
        <v>95880</v>
      </c>
      <c r="K160" s="926">
        <v>1658</v>
      </c>
      <c r="L160" s="926">
        <v>0</v>
      </c>
      <c r="M160" s="926">
        <f t="shared" si="10"/>
        <v>94222</v>
      </c>
      <c r="N160" s="929" t="s">
        <v>183</v>
      </c>
      <c r="O160" s="943">
        <v>43919000</v>
      </c>
      <c r="P160" s="1070" t="s">
        <v>596</v>
      </c>
      <c r="Q160" s="651"/>
      <c r="R160" s="651"/>
      <c r="S160" s="651"/>
      <c r="T160" s="651"/>
      <c r="U160" s="12"/>
      <c r="V160" s="12"/>
      <c r="W160" s="12"/>
    </row>
    <row r="161" spans="1:23" s="43" customFormat="1" ht="32.25" customHeight="1">
      <c r="A161" s="924">
        <v>151</v>
      </c>
      <c r="B161" s="922" t="s">
        <v>329</v>
      </c>
      <c r="C161" s="930" t="s">
        <v>41</v>
      </c>
      <c r="D161" s="940" t="s">
        <v>448</v>
      </c>
      <c r="E161" s="932" t="s">
        <v>23</v>
      </c>
      <c r="F161" s="936">
        <v>1325</v>
      </c>
      <c r="G161" s="934">
        <v>72</v>
      </c>
      <c r="H161" s="939">
        <v>0</v>
      </c>
      <c r="I161" s="927">
        <f t="shared" si="11"/>
        <v>3.4738558104612786E-2</v>
      </c>
      <c r="J161" s="926">
        <v>1221323</v>
      </c>
      <c r="K161" s="926">
        <v>42427</v>
      </c>
      <c r="L161" s="926">
        <v>402</v>
      </c>
      <c r="M161" s="926">
        <f t="shared" si="10"/>
        <v>1178494</v>
      </c>
      <c r="N161" s="929" t="s">
        <v>330</v>
      </c>
      <c r="O161" s="928">
        <f>273480000</f>
        <v>273480000</v>
      </c>
      <c r="P161" s="1005"/>
      <c r="Q161" s="12"/>
      <c r="R161" s="12"/>
      <c r="S161" s="12"/>
      <c r="T161" s="12"/>
      <c r="U161" s="12"/>
      <c r="V161" s="12"/>
      <c r="W161" s="12"/>
    </row>
    <row r="162" spans="1:23" s="43" customFormat="1" ht="60" customHeight="1">
      <c r="A162" s="924">
        <v>152</v>
      </c>
      <c r="B162" s="947" t="s">
        <v>310</v>
      </c>
      <c r="C162" s="930" t="s">
        <v>41</v>
      </c>
      <c r="D162" s="940" t="s">
        <v>448</v>
      </c>
      <c r="E162" s="932" t="s">
        <v>23</v>
      </c>
      <c r="F162" s="936">
        <v>816</v>
      </c>
      <c r="G162" s="926">
        <v>72</v>
      </c>
      <c r="H162" s="927">
        <v>0.49819999999999998</v>
      </c>
      <c r="I162" s="935">
        <f t="shared" si="11"/>
        <v>0.16635197144376998</v>
      </c>
      <c r="J162" s="926">
        <v>1005735</v>
      </c>
      <c r="K162" s="926">
        <v>167306</v>
      </c>
      <c r="L162" s="926">
        <v>3101</v>
      </c>
      <c r="M162" s="926">
        <f t="shared" si="10"/>
        <v>835328</v>
      </c>
      <c r="N162" s="929" t="s">
        <v>311</v>
      </c>
      <c r="O162" s="938">
        <v>113984129</v>
      </c>
      <c r="P162" s="963"/>
      <c r="Q162" s="118"/>
      <c r="R162" s="118"/>
      <c r="S162" s="118"/>
      <c r="T162" s="118"/>
      <c r="U162" s="12"/>
      <c r="V162" s="12"/>
      <c r="W162" s="12"/>
    </row>
    <row r="163" spans="1:23" s="43" customFormat="1" ht="63.75">
      <c r="A163" s="924">
        <v>153</v>
      </c>
      <c r="B163" s="1018" t="s">
        <v>327</v>
      </c>
      <c r="C163" s="930" t="s">
        <v>41</v>
      </c>
      <c r="D163" s="940" t="s">
        <v>448</v>
      </c>
      <c r="E163" s="932" t="s">
        <v>23</v>
      </c>
      <c r="F163" s="925">
        <v>1258</v>
      </c>
      <c r="G163" s="934">
        <v>70</v>
      </c>
      <c r="H163" s="937">
        <v>0</v>
      </c>
      <c r="I163" s="937">
        <v>0</v>
      </c>
      <c r="J163" s="926">
        <v>168605</v>
      </c>
      <c r="K163" s="926">
        <v>0</v>
      </c>
      <c r="L163" s="926">
        <v>0</v>
      </c>
      <c r="M163" s="926">
        <f t="shared" si="10"/>
        <v>168605</v>
      </c>
      <c r="N163" s="929" t="s">
        <v>183</v>
      </c>
      <c r="O163" s="928">
        <f>113447000/4.9</f>
        <v>23152448.979591835</v>
      </c>
      <c r="P163" s="1005" t="s">
        <v>328</v>
      </c>
      <c r="Q163" s="12"/>
      <c r="R163" s="12"/>
      <c r="S163" s="12"/>
      <c r="T163" s="12"/>
      <c r="U163" s="12"/>
      <c r="V163" s="12"/>
      <c r="W163" s="12"/>
    </row>
    <row r="164" spans="1:23" s="43" customFormat="1" ht="25.5">
      <c r="A164" s="924">
        <v>154</v>
      </c>
      <c r="B164" s="947" t="s">
        <v>342</v>
      </c>
      <c r="C164" s="930" t="s">
        <v>41</v>
      </c>
      <c r="D164" s="931" t="s">
        <v>448</v>
      </c>
      <c r="E164" s="923" t="s">
        <v>23</v>
      </c>
      <c r="F164" s="936">
        <v>363</v>
      </c>
      <c r="G164" s="926">
        <v>70</v>
      </c>
      <c r="H164" s="927">
        <v>0.46</v>
      </c>
      <c r="I164" s="935">
        <f>K164/J164</f>
        <v>0.38684479939567729</v>
      </c>
      <c r="J164" s="926">
        <v>804868</v>
      </c>
      <c r="K164" s="926">
        <v>311359</v>
      </c>
      <c r="L164" s="926">
        <v>1630</v>
      </c>
      <c r="M164" s="926">
        <f t="shared" si="10"/>
        <v>491879</v>
      </c>
      <c r="N164" s="929" t="s">
        <v>343</v>
      </c>
      <c r="O164" s="966">
        <v>7.32</v>
      </c>
      <c r="P164" s="1005"/>
      <c r="Q164" s="12"/>
      <c r="R164" s="12"/>
      <c r="S164" s="12"/>
      <c r="T164" s="12"/>
      <c r="U164" s="12"/>
      <c r="V164" s="12"/>
      <c r="W164" s="12"/>
    </row>
    <row r="165" spans="1:23" s="43" customFormat="1" ht="70.5" customHeight="1">
      <c r="A165" s="924">
        <v>155</v>
      </c>
      <c r="B165" s="1003" t="s">
        <v>48</v>
      </c>
      <c r="C165" s="941" t="s">
        <v>21</v>
      </c>
      <c r="D165" s="941" t="s">
        <v>22</v>
      </c>
      <c r="E165" s="924" t="s">
        <v>23</v>
      </c>
      <c r="F165" s="942">
        <v>1280</v>
      </c>
      <c r="G165" s="926">
        <v>69</v>
      </c>
      <c r="H165" s="927">
        <v>0</v>
      </c>
      <c r="I165" s="927">
        <f>K165/J165</f>
        <v>6.5347209530912734E-3</v>
      </c>
      <c r="J165" s="926">
        <v>202457</v>
      </c>
      <c r="K165" s="926">
        <f>1075+248</f>
        <v>1323</v>
      </c>
      <c r="L165" s="926">
        <v>440</v>
      </c>
      <c r="M165" s="926">
        <f t="shared" si="10"/>
        <v>200694</v>
      </c>
      <c r="N165" s="929" t="s">
        <v>66</v>
      </c>
      <c r="O165" s="926">
        <f>65764297/5</f>
        <v>13152859.4</v>
      </c>
      <c r="P165" s="963" t="s">
        <v>597</v>
      </c>
      <c r="Q165" s="12"/>
      <c r="R165" s="12"/>
      <c r="S165" s="12"/>
      <c r="T165" s="12"/>
      <c r="U165" s="12"/>
      <c r="V165" s="12"/>
      <c r="W165" s="12"/>
    </row>
    <row r="166" spans="1:23" s="1090" customFormat="1" ht="51">
      <c r="A166" s="924">
        <v>156</v>
      </c>
      <c r="B166" s="947" t="s">
        <v>598</v>
      </c>
      <c r="C166" s="930" t="s">
        <v>41</v>
      </c>
      <c r="D166" s="940" t="s">
        <v>561</v>
      </c>
      <c r="E166" s="932" t="s">
        <v>23</v>
      </c>
      <c r="F166" s="936">
        <v>828</v>
      </c>
      <c r="G166" s="926">
        <v>69</v>
      </c>
      <c r="H166" s="927">
        <v>0</v>
      </c>
      <c r="I166" s="935">
        <f>K166/J166</f>
        <v>0.10466490394645694</v>
      </c>
      <c r="J166" s="926">
        <v>9337084</v>
      </c>
      <c r="K166" s="926">
        <v>977265</v>
      </c>
      <c r="L166" s="926">
        <v>357624</v>
      </c>
      <c r="M166" s="926">
        <f t="shared" si="10"/>
        <v>8002195</v>
      </c>
      <c r="N166" s="929" t="s">
        <v>183</v>
      </c>
      <c r="O166" s="938">
        <v>146383000</v>
      </c>
      <c r="P166" s="963" t="s">
        <v>599</v>
      </c>
      <c r="Q166" s="1089"/>
      <c r="R166" s="1089"/>
      <c r="S166" s="1089"/>
      <c r="T166" s="1089"/>
      <c r="U166" s="1074"/>
      <c r="V166" s="1074"/>
      <c r="W166" s="1074"/>
    </row>
    <row r="167" spans="1:23" s="43" customFormat="1" ht="63.75">
      <c r="A167" s="924">
        <v>157</v>
      </c>
      <c r="B167" s="1018" t="s">
        <v>298</v>
      </c>
      <c r="C167" s="941" t="s">
        <v>21</v>
      </c>
      <c r="D167" s="929" t="s">
        <v>22</v>
      </c>
      <c r="E167" s="923" t="s">
        <v>23</v>
      </c>
      <c r="F167" s="948">
        <v>286</v>
      </c>
      <c r="G167" s="934">
        <v>69</v>
      </c>
      <c r="H167" s="927">
        <v>0.7</v>
      </c>
      <c r="I167" s="927">
        <f>K167/J167</f>
        <v>0.22478060012390788</v>
      </c>
      <c r="J167" s="926">
        <v>204991</v>
      </c>
      <c r="K167" s="926">
        <v>46078</v>
      </c>
      <c r="L167" s="926">
        <v>300</v>
      </c>
      <c r="M167" s="926">
        <f t="shared" si="10"/>
        <v>158613</v>
      </c>
      <c r="N167" s="929" t="s">
        <v>183</v>
      </c>
      <c r="O167" s="938">
        <v>14072</v>
      </c>
      <c r="P167" s="963" t="s">
        <v>299</v>
      </c>
      <c r="Q167" s="12"/>
      <c r="R167" s="12"/>
      <c r="S167" s="12"/>
      <c r="T167" s="12"/>
      <c r="U167" s="12"/>
      <c r="V167" s="12"/>
      <c r="W167" s="12"/>
    </row>
    <row r="168" spans="1:23" s="43" customFormat="1" ht="115.5" customHeight="1">
      <c r="A168" s="924">
        <v>158</v>
      </c>
      <c r="B168" s="947" t="s">
        <v>332</v>
      </c>
      <c r="C168" s="930" t="s">
        <v>41</v>
      </c>
      <c r="D168" s="931" t="s">
        <v>468</v>
      </c>
      <c r="E168" s="923" t="s">
        <v>23</v>
      </c>
      <c r="F168" s="936">
        <v>421</v>
      </c>
      <c r="G168" s="934">
        <v>63</v>
      </c>
      <c r="H168" s="927">
        <v>0.83</v>
      </c>
      <c r="I168" s="927">
        <f>K168/J168</f>
        <v>0.79098288439625497</v>
      </c>
      <c r="J168" s="943">
        <v>340508</v>
      </c>
      <c r="K168" s="943">
        <v>269336</v>
      </c>
      <c r="L168" s="943">
        <v>7000</v>
      </c>
      <c r="M168" s="926">
        <f t="shared" si="10"/>
        <v>64172</v>
      </c>
      <c r="N168" s="929" t="s">
        <v>284</v>
      </c>
      <c r="O168" s="966">
        <v>21.47</v>
      </c>
      <c r="P168" s="963" t="s">
        <v>600</v>
      </c>
      <c r="Q168" s="12"/>
      <c r="R168" s="12"/>
      <c r="S168" s="12"/>
      <c r="T168" s="12"/>
      <c r="U168" s="12"/>
      <c r="V168" s="12"/>
      <c r="W168" s="12"/>
    </row>
    <row r="169" spans="1:23" s="43" customFormat="1" ht="41.25" customHeight="1">
      <c r="A169" s="924">
        <v>159</v>
      </c>
      <c r="B169" s="1003" t="s">
        <v>316</v>
      </c>
      <c r="C169" s="930" t="s">
        <v>41</v>
      </c>
      <c r="D169" s="931" t="s">
        <v>448</v>
      </c>
      <c r="E169" s="923" t="s">
        <v>23</v>
      </c>
      <c r="F169" s="925">
        <v>1226</v>
      </c>
      <c r="G169" s="934">
        <v>62</v>
      </c>
      <c r="H169" s="937">
        <v>0</v>
      </c>
      <c r="I169" s="937">
        <v>0</v>
      </c>
      <c r="J169" s="926">
        <v>160646</v>
      </c>
      <c r="K169" s="926">
        <v>0</v>
      </c>
      <c r="L169" s="926">
        <v>0</v>
      </c>
      <c r="M169" s="926">
        <f t="shared" si="10"/>
        <v>160646</v>
      </c>
      <c r="N169" s="929" t="s">
        <v>183</v>
      </c>
      <c r="O169" s="928">
        <v>31728388</v>
      </c>
      <c r="P169" s="963" t="s">
        <v>317</v>
      </c>
      <c r="Q169" s="12"/>
      <c r="R169" s="12"/>
      <c r="S169" s="12"/>
      <c r="T169" s="12"/>
      <c r="U169" s="12"/>
      <c r="V169" s="12"/>
      <c r="W169" s="12"/>
    </row>
    <row r="170" spans="1:23" s="43" customFormat="1" ht="25.5">
      <c r="A170" s="924">
        <v>160</v>
      </c>
      <c r="B170" s="947" t="s">
        <v>291</v>
      </c>
      <c r="C170" s="930" t="s">
        <v>41</v>
      </c>
      <c r="D170" s="931" t="s">
        <v>448</v>
      </c>
      <c r="E170" s="923" t="s">
        <v>23</v>
      </c>
      <c r="F170" s="936">
        <v>1410</v>
      </c>
      <c r="G170" s="934">
        <v>61</v>
      </c>
      <c r="H170" s="939">
        <v>0</v>
      </c>
      <c r="I170" s="927">
        <v>0</v>
      </c>
      <c r="J170" s="926">
        <v>145202</v>
      </c>
      <c r="K170" s="926">
        <v>0</v>
      </c>
      <c r="L170" s="926">
        <v>989</v>
      </c>
      <c r="M170" s="926">
        <f t="shared" ref="M170:M183" si="12">J170-K170-L170</f>
        <v>144213</v>
      </c>
      <c r="N170" s="929" t="s">
        <v>66</v>
      </c>
      <c r="O170" s="928">
        <f>31900720/5</f>
        <v>6380144</v>
      </c>
      <c r="P170" s="1005"/>
      <c r="Q170" s="12"/>
      <c r="R170" s="12"/>
      <c r="S170" s="12"/>
      <c r="T170" s="12"/>
      <c r="U170" s="12"/>
      <c r="V170" s="12"/>
      <c r="W170" s="12"/>
    </row>
    <row r="171" spans="1:23" s="43" customFormat="1">
      <c r="A171" s="924">
        <v>161</v>
      </c>
      <c r="B171" s="1003" t="s">
        <v>346</v>
      </c>
      <c r="C171" s="930" t="s">
        <v>41</v>
      </c>
      <c r="D171" s="931" t="s">
        <v>448</v>
      </c>
      <c r="E171" s="923" t="s">
        <v>23</v>
      </c>
      <c r="F171" s="925">
        <v>1268</v>
      </c>
      <c r="G171" s="934">
        <v>61</v>
      </c>
      <c r="H171" s="937">
        <v>0</v>
      </c>
      <c r="I171" s="937">
        <v>0</v>
      </c>
      <c r="J171" s="926">
        <v>236673</v>
      </c>
      <c r="K171" s="926">
        <f>0</f>
        <v>0</v>
      </c>
      <c r="L171" s="926">
        <v>0</v>
      </c>
      <c r="M171" s="926">
        <f t="shared" si="12"/>
        <v>236673</v>
      </c>
      <c r="N171" s="929" t="s">
        <v>66</v>
      </c>
      <c r="O171" s="928">
        <v>37971</v>
      </c>
      <c r="P171" s="1005"/>
      <c r="Q171" s="12"/>
      <c r="R171" s="12"/>
      <c r="S171" s="12"/>
      <c r="T171" s="12"/>
      <c r="U171" s="12"/>
      <c r="V171" s="12"/>
      <c r="W171" s="12"/>
    </row>
    <row r="172" spans="1:23" s="43" customFormat="1" ht="25.5">
      <c r="A172" s="924">
        <v>162</v>
      </c>
      <c r="B172" s="947" t="s">
        <v>340</v>
      </c>
      <c r="C172" s="930" t="s">
        <v>41</v>
      </c>
      <c r="D172" s="931" t="s">
        <v>448</v>
      </c>
      <c r="E172" s="923" t="s">
        <v>23</v>
      </c>
      <c r="F172" s="936">
        <v>1189</v>
      </c>
      <c r="G172" s="934">
        <v>61</v>
      </c>
      <c r="H172" s="927">
        <v>0</v>
      </c>
      <c r="I172" s="935">
        <f>K172/J172</f>
        <v>6.066337181294271E-4</v>
      </c>
      <c r="J172" s="926">
        <v>168141</v>
      </c>
      <c r="K172" s="926">
        <f>102</f>
        <v>102</v>
      </c>
      <c r="L172" s="926">
        <v>0</v>
      </c>
      <c r="M172" s="926">
        <f t="shared" si="12"/>
        <v>168039</v>
      </c>
      <c r="N172" s="929">
        <v>2025</v>
      </c>
      <c r="O172" s="926">
        <v>14220160</v>
      </c>
      <c r="P172" s="1005"/>
      <c r="Q172" s="12"/>
      <c r="R172" s="12"/>
      <c r="S172" s="12"/>
      <c r="T172" s="12"/>
      <c r="U172" s="12"/>
      <c r="V172" s="12"/>
      <c r="W172" s="12"/>
    </row>
    <row r="173" spans="1:23" s="43" customFormat="1" ht="25.5">
      <c r="A173" s="924">
        <v>163</v>
      </c>
      <c r="B173" s="947" t="s">
        <v>352</v>
      </c>
      <c r="C173" s="930" t="s">
        <v>41</v>
      </c>
      <c r="D173" s="931" t="s">
        <v>448</v>
      </c>
      <c r="E173" s="923" t="s">
        <v>23</v>
      </c>
      <c r="F173" s="936">
        <v>714</v>
      </c>
      <c r="G173" s="934">
        <v>60</v>
      </c>
      <c r="H173" s="939">
        <v>4.0000000000000001E-3</v>
      </c>
      <c r="I173" s="937">
        <f>K173/J173</f>
        <v>3.1983392774167074E-3</v>
      </c>
      <c r="J173" s="926">
        <v>662844</v>
      </c>
      <c r="K173" s="926">
        <v>2120</v>
      </c>
      <c r="L173" s="926">
        <v>2144</v>
      </c>
      <c r="M173" s="926">
        <f t="shared" si="12"/>
        <v>658580</v>
      </c>
      <c r="N173" s="929" t="s">
        <v>183</v>
      </c>
      <c r="O173" s="928" t="s">
        <v>349</v>
      </c>
      <c r="P173" s="963" t="s">
        <v>353</v>
      </c>
      <c r="Q173" s="12"/>
      <c r="R173" s="12"/>
      <c r="S173" s="12"/>
      <c r="T173" s="12"/>
      <c r="U173" s="12"/>
      <c r="V173" s="12"/>
      <c r="W173" s="12"/>
    </row>
    <row r="174" spans="1:23" s="43" customFormat="1" ht="38.25">
      <c r="A174" s="924">
        <v>164</v>
      </c>
      <c r="B174" s="922" t="s">
        <v>182</v>
      </c>
      <c r="C174" s="930" t="s">
        <v>41</v>
      </c>
      <c r="D174" s="931" t="s">
        <v>367</v>
      </c>
      <c r="E174" s="923" t="s">
        <v>23</v>
      </c>
      <c r="F174" s="936">
        <v>1363</v>
      </c>
      <c r="G174" s="934">
        <v>59</v>
      </c>
      <c r="H174" s="939">
        <v>0</v>
      </c>
      <c r="I174" s="935">
        <f>K174/J174</f>
        <v>1.204925736410446E-3</v>
      </c>
      <c r="J174" s="926">
        <v>124489</v>
      </c>
      <c r="K174" s="926">
        <v>150</v>
      </c>
      <c r="L174" s="926">
        <v>0</v>
      </c>
      <c r="M174" s="926">
        <f t="shared" si="12"/>
        <v>124339</v>
      </c>
      <c r="N174" s="929" t="s">
        <v>183</v>
      </c>
      <c r="O174" s="928">
        <v>5068691</v>
      </c>
      <c r="P174" s="1005"/>
      <c r="Q174" s="649"/>
      <c r="R174" s="649"/>
      <c r="S174" s="649"/>
      <c r="T174" s="649"/>
      <c r="U174" s="12"/>
      <c r="V174" s="12"/>
      <c r="W174" s="12"/>
    </row>
    <row r="175" spans="1:23" s="43" customFormat="1" ht="38.25">
      <c r="A175" s="924">
        <v>165</v>
      </c>
      <c r="B175" s="922" t="s">
        <v>350</v>
      </c>
      <c r="C175" s="930" t="s">
        <v>41</v>
      </c>
      <c r="D175" s="931" t="s">
        <v>448</v>
      </c>
      <c r="E175" s="923" t="s">
        <v>23</v>
      </c>
      <c r="F175" s="936">
        <v>1254</v>
      </c>
      <c r="G175" s="934">
        <v>59</v>
      </c>
      <c r="H175" s="939">
        <v>0</v>
      </c>
      <c r="I175" s="927">
        <v>0</v>
      </c>
      <c r="J175" s="926">
        <v>307454</v>
      </c>
      <c r="K175" s="926">
        <v>0</v>
      </c>
      <c r="L175" s="926">
        <v>883</v>
      </c>
      <c r="M175" s="926">
        <f t="shared" si="12"/>
        <v>306571</v>
      </c>
      <c r="N175" s="929" t="s">
        <v>66</v>
      </c>
      <c r="O175" s="965" t="s">
        <v>349</v>
      </c>
      <c r="P175" s="1019"/>
      <c r="Q175" s="12"/>
      <c r="R175" s="12"/>
      <c r="S175" s="12"/>
      <c r="T175" s="12"/>
      <c r="U175" s="12"/>
      <c r="V175" s="12"/>
      <c r="W175" s="12"/>
    </row>
    <row r="176" spans="1:23" s="43" customFormat="1">
      <c r="A176" s="924">
        <v>166</v>
      </c>
      <c r="B176" s="1003" t="s">
        <v>345</v>
      </c>
      <c r="C176" s="930" t="s">
        <v>41</v>
      </c>
      <c r="D176" s="931" t="s">
        <v>448</v>
      </c>
      <c r="E176" s="929" t="s">
        <v>23</v>
      </c>
      <c r="F176" s="925">
        <v>1267</v>
      </c>
      <c r="G176" s="934">
        <v>58</v>
      </c>
      <c r="H176" s="937">
        <v>0</v>
      </c>
      <c r="I176" s="937">
        <f t="shared" ref="I176:I183" si="13">K176/J176</f>
        <v>7.1219998575600027E-5</v>
      </c>
      <c r="J176" s="926">
        <v>238697</v>
      </c>
      <c r="K176" s="926">
        <v>17</v>
      </c>
      <c r="L176" s="926">
        <v>216</v>
      </c>
      <c r="M176" s="926">
        <f t="shared" si="12"/>
        <v>238464</v>
      </c>
      <c r="N176" s="929" t="s">
        <v>66</v>
      </c>
      <c r="O176" s="928">
        <v>210663</v>
      </c>
      <c r="P176" s="1005"/>
      <c r="Q176" s="651"/>
      <c r="R176" s="651"/>
      <c r="S176" s="651"/>
      <c r="T176" s="651"/>
      <c r="U176" s="12"/>
      <c r="V176" s="12"/>
      <c r="W176" s="12"/>
    </row>
    <row r="177" spans="1:30" s="43" customFormat="1" ht="114.75">
      <c r="A177" s="924">
        <v>167</v>
      </c>
      <c r="B177" s="947" t="s">
        <v>277</v>
      </c>
      <c r="C177" s="930" t="s">
        <v>41</v>
      </c>
      <c r="D177" s="931" t="s">
        <v>448</v>
      </c>
      <c r="E177" s="923" t="s">
        <v>23</v>
      </c>
      <c r="F177" s="936">
        <v>353</v>
      </c>
      <c r="G177" s="926">
        <v>57</v>
      </c>
      <c r="H177" s="927">
        <v>0.4</v>
      </c>
      <c r="I177" s="927">
        <f t="shared" si="13"/>
        <v>0.35555836865882384</v>
      </c>
      <c r="J177" s="943">
        <v>8262919</v>
      </c>
      <c r="K177" s="943">
        <v>2937950</v>
      </c>
      <c r="L177" s="943">
        <v>5929</v>
      </c>
      <c r="M177" s="926">
        <f t="shared" si="12"/>
        <v>5319040</v>
      </c>
      <c r="N177" s="995" t="s">
        <v>278</v>
      </c>
      <c r="O177" s="966">
        <v>15</v>
      </c>
      <c r="P177" s="963" t="s">
        <v>279</v>
      </c>
      <c r="Q177" s="12"/>
      <c r="R177" s="12"/>
      <c r="S177" s="12"/>
      <c r="T177" s="12"/>
      <c r="U177" s="12"/>
      <c r="V177" s="12"/>
      <c r="W177" s="12"/>
    </row>
    <row r="178" spans="1:30" s="43" customFormat="1" ht="25.5">
      <c r="A178" s="924">
        <v>168</v>
      </c>
      <c r="B178" s="947" t="s">
        <v>347</v>
      </c>
      <c r="C178" s="930" t="s">
        <v>41</v>
      </c>
      <c r="D178" s="931" t="s">
        <v>448</v>
      </c>
      <c r="E178" s="923" t="s">
        <v>23</v>
      </c>
      <c r="F178" s="936">
        <v>385</v>
      </c>
      <c r="G178" s="934">
        <v>52</v>
      </c>
      <c r="H178" s="939">
        <v>0.84</v>
      </c>
      <c r="I178" s="937">
        <f t="shared" si="13"/>
        <v>0.67034288689279764</v>
      </c>
      <c r="J178" s="926">
        <v>303482</v>
      </c>
      <c r="K178" s="926">
        <f>203437</f>
        <v>203437</v>
      </c>
      <c r="L178" s="926">
        <v>0</v>
      </c>
      <c r="M178" s="926">
        <f t="shared" si="12"/>
        <v>100045</v>
      </c>
      <c r="N178" s="929" t="s">
        <v>601</v>
      </c>
      <c r="O178" s="938" t="s">
        <v>349</v>
      </c>
      <c r="P178" s="1005"/>
      <c r="Q178" s="12"/>
      <c r="R178" s="12"/>
      <c r="S178" s="12"/>
      <c r="T178" s="12"/>
      <c r="U178" s="12"/>
      <c r="V178" s="12"/>
      <c r="W178" s="12"/>
    </row>
    <row r="179" spans="1:30" s="43" customFormat="1" ht="228.75" customHeight="1">
      <c r="A179" s="924">
        <v>169</v>
      </c>
      <c r="B179" s="1018" t="s">
        <v>354</v>
      </c>
      <c r="C179" s="930" t="s">
        <v>41</v>
      </c>
      <c r="D179" s="931" t="s">
        <v>448</v>
      </c>
      <c r="E179" s="923" t="s">
        <v>23</v>
      </c>
      <c r="F179" s="925">
        <v>1253</v>
      </c>
      <c r="G179" s="934">
        <v>52</v>
      </c>
      <c r="H179" s="937">
        <v>0.32800000000000001</v>
      </c>
      <c r="I179" s="937">
        <f t="shared" si="13"/>
        <v>0.31077187301160319</v>
      </c>
      <c r="J179" s="926">
        <v>193309</v>
      </c>
      <c r="K179" s="926">
        <f>59605+470</f>
        <v>60075</v>
      </c>
      <c r="L179" s="926">
        <v>278</v>
      </c>
      <c r="M179" s="926">
        <f t="shared" si="12"/>
        <v>132956</v>
      </c>
      <c r="N179" s="929" t="s">
        <v>66</v>
      </c>
      <c r="O179" s="1071" t="s">
        <v>264</v>
      </c>
      <c r="P179" s="963" t="s">
        <v>602</v>
      </c>
      <c r="Q179" s="12"/>
      <c r="R179" s="12"/>
      <c r="S179" s="12"/>
      <c r="T179" s="12"/>
      <c r="U179" s="12"/>
      <c r="V179" s="12"/>
      <c r="W179" s="12"/>
    </row>
    <row r="180" spans="1:30" s="43" customFormat="1" ht="240.75" customHeight="1">
      <c r="A180" s="924">
        <v>170</v>
      </c>
      <c r="B180" s="1003" t="s">
        <v>357</v>
      </c>
      <c r="C180" s="930" t="s">
        <v>41</v>
      </c>
      <c r="D180" s="931" t="s">
        <v>448</v>
      </c>
      <c r="E180" s="923" t="s">
        <v>23</v>
      </c>
      <c r="F180" s="925">
        <v>1237</v>
      </c>
      <c r="G180" s="934">
        <v>51</v>
      </c>
      <c r="H180" s="937">
        <v>0.76</v>
      </c>
      <c r="I180" s="937">
        <f t="shared" si="13"/>
        <v>0.52381849476361331</v>
      </c>
      <c r="J180" s="926">
        <v>116779</v>
      </c>
      <c r="K180" s="926">
        <v>61171</v>
      </c>
      <c r="L180" s="926">
        <v>2188</v>
      </c>
      <c r="M180" s="926">
        <f t="shared" si="12"/>
        <v>53420</v>
      </c>
      <c r="N180" s="929" t="s">
        <v>52</v>
      </c>
      <c r="O180" s="1071" t="s">
        <v>264</v>
      </c>
      <c r="P180" s="963" t="s">
        <v>603</v>
      </c>
      <c r="Q180" s="12"/>
      <c r="R180" s="12"/>
      <c r="S180" s="12"/>
      <c r="T180" s="12"/>
      <c r="U180" s="12"/>
      <c r="V180" s="12"/>
      <c r="W180" s="12"/>
    </row>
    <row r="181" spans="1:30" s="43" customFormat="1" ht="54" customHeight="1">
      <c r="A181" s="924">
        <v>171</v>
      </c>
      <c r="B181" s="922" t="s">
        <v>355</v>
      </c>
      <c r="C181" s="930" t="s">
        <v>41</v>
      </c>
      <c r="D181" s="931" t="s">
        <v>448</v>
      </c>
      <c r="E181" s="923" t="s">
        <v>23</v>
      </c>
      <c r="F181" s="936">
        <v>1123</v>
      </c>
      <c r="G181" s="934">
        <v>41</v>
      </c>
      <c r="H181" s="939">
        <v>0</v>
      </c>
      <c r="I181" s="927">
        <f t="shared" si="13"/>
        <v>1.1163178684462328E-3</v>
      </c>
      <c r="J181" s="926">
        <v>163036</v>
      </c>
      <c r="K181" s="926">
        <v>182</v>
      </c>
      <c r="L181" s="926">
        <v>1846</v>
      </c>
      <c r="M181" s="926">
        <f t="shared" si="12"/>
        <v>161008</v>
      </c>
      <c r="N181" s="929" t="s">
        <v>66</v>
      </c>
      <c r="O181" s="965" t="s">
        <v>349</v>
      </c>
      <c r="P181" s="963" t="s">
        <v>356</v>
      </c>
      <c r="Q181" s="12"/>
      <c r="R181" s="12"/>
      <c r="S181" s="12"/>
      <c r="T181" s="12"/>
      <c r="U181" s="12"/>
      <c r="V181" s="12"/>
      <c r="W181" s="12"/>
    </row>
    <row r="182" spans="1:30" s="118" customFormat="1" ht="180" customHeight="1">
      <c r="A182" s="924">
        <v>172</v>
      </c>
      <c r="B182" s="947" t="s">
        <v>337</v>
      </c>
      <c r="C182" s="930" t="s">
        <v>41</v>
      </c>
      <c r="D182" s="931" t="s">
        <v>468</v>
      </c>
      <c r="E182" s="923" t="s">
        <v>23</v>
      </c>
      <c r="F182" s="936">
        <v>424</v>
      </c>
      <c r="G182" s="1072">
        <v>36</v>
      </c>
      <c r="H182" s="927">
        <v>0.03</v>
      </c>
      <c r="I182" s="927">
        <f t="shared" si="13"/>
        <v>0.22408893338660224</v>
      </c>
      <c r="J182" s="943">
        <v>2077510</v>
      </c>
      <c r="K182" s="943">
        <f>465547</f>
        <v>465547</v>
      </c>
      <c r="L182" s="943">
        <v>0</v>
      </c>
      <c r="M182" s="926">
        <f t="shared" si="12"/>
        <v>1611963</v>
      </c>
      <c r="N182" s="929" t="s">
        <v>338</v>
      </c>
      <c r="O182" s="928">
        <f>2077509685/4.9</f>
        <v>423981568.36734688</v>
      </c>
      <c r="P182" s="963" t="s">
        <v>339</v>
      </c>
      <c r="Q182" s="12"/>
      <c r="R182" s="12"/>
      <c r="S182" s="12"/>
      <c r="T182" s="12"/>
    </row>
    <row r="183" spans="1:30" s="663" customFormat="1" ht="54.75" customHeight="1" thickBot="1">
      <c r="A183" s="1196">
        <v>173</v>
      </c>
      <c r="B183" s="1197" t="s">
        <v>359</v>
      </c>
      <c r="C183" s="1198" t="s">
        <v>41</v>
      </c>
      <c r="D183" s="1199" t="s">
        <v>367</v>
      </c>
      <c r="E183" s="1200" t="s">
        <v>23</v>
      </c>
      <c r="F183" s="1201">
        <v>826</v>
      </c>
      <c r="G183" s="1202">
        <v>35</v>
      </c>
      <c r="H183" s="1203">
        <v>0.46650000000000003</v>
      </c>
      <c r="I183" s="1204">
        <f t="shared" si="13"/>
        <v>0.43461850811444092</v>
      </c>
      <c r="J183" s="1205">
        <v>300452</v>
      </c>
      <c r="K183" s="1205">
        <v>130582</v>
      </c>
      <c r="L183" s="1205">
        <v>0</v>
      </c>
      <c r="M183" s="1202">
        <f t="shared" si="12"/>
        <v>169870</v>
      </c>
      <c r="N183" s="1206">
        <v>2030</v>
      </c>
      <c r="O183" s="1207" t="s">
        <v>349</v>
      </c>
      <c r="P183" s="1208"/>
      <c r="Q183" s="673"/>
      <c r="R183" s="673"/>
      <c r="S183" s="673"/>
      <c r="T183" s="12"/>
    </row>
    <row r="184" spans="1:30" s="674" customFormat="1" ht="16.5" thickBot="1">
      <c r="A184" s="1209" t="s">
        <v>360</v>
      </c>
      <c r="B184" s="1210"/>
      <c r="C184" s="643">
        <f>COUNT(A11:A183)</f>
        <v>173</v>
      </c>
      <c r="D184" s="643"/>
      <c r="E184" s="643"/>
      <c r="F184" s="1211"/>
      <c r="G184" s="644"/>
      <c r="H184" s="1212"/>
      <c r="I184" s="1212"/>
      <c r="J184" s="644">
        <f>SUM(J11:J183)</f>
        <v>406173117</v>
      </c>
      <c r="K184" s="644">
        <f>SUM(K11:K183)</f>
        <v>67375457</v>
      </c>
      <c r="L184" s="644">
        <f>SUM(L11:L183)</f>
        <v>16401926</v>
      </c>
      <c r="M184" s="644">
        <f>SUM(M11:M183)</f>
        <v>322395734</v>
      </c>
      <c r="N184" s="1213"/>
      <c r="O184" s="1214"/>
      <c r="P184" s="1215"/>
    </row>
    <row r="185" spans="1:30" s="421" customFormat="1" ht="25.5">
      <c r="A185" s="675"/>
      <c r="B185" s="1077"/>
      <c r="C185" s="676"/>
      <c r="D185" s="676"/>
      <c r="E185" s="676"/>
      <c r="F185" s="1022"/>
      <c r="G185" s="678"/>
      <c r="H185" s="677"/>
      <c r="I185" s="677"/>
      <c r="J185" s="1112"/>
      <c r="K185" s="1022"/>
      <c r="L185" s="1022"/>
      <c r="M185" s="677"/>
      <c r="N185" s="677"/>
      <c r="O185" s="679"/>
      <c r="P185" s="677"/>
      <c r="Q185" s="680"/>
      <c r="R185" s="680"/>
      <c r="S185" s="680"/>
      <c r="T185" s="680"/>
      <c r="U185" s="680"/>
      <c r="V185" s="680"/>
      <c r="W185" s="680"/>
    </row>
    <row r="186" spans="1:30" s="421" customFormat="1" ht="25.5" customHeight="1">
      <c r="A186" s="681"/>
      <c r="B186" s="1023"/>
      <c r="C186" s="681"/>
      <c r="D186" s="681"/>
      <c r="E186" s="681"/>
      <c r="F186" s="1023"/>
      <c r="G186" s="682"/>
      <c r="H186" s="681">
        <v>116</v>
      </c>
      <c r="I186" s="681" t="s">
        <v>41</v>
      </c>
      <c r="J186" s="1113">
        <f>J183+J182+J181+J180+J179+J178+J177+J176+J175+J174+J173+J172+J171+J170+J169+J168+J166+J164+J163+J162+J161+J159+J158+J156+J152+J151+J150+J149+J144+J133+J131+J129+J124+J121+J120+J119+J113+J109+J106+J105+J104+J103+J102+J98+J96+J95+J94+J90+J89+J86+J85+J84+J82+J81+J80+J79+J78+J77+J74+J73+J72+J71+J69+J67+J66+J65+J64+J63+J62+J61+J60+J59+J58+J57+J56+J55+J54+J53+J52+J51+J50+J49+J48+J47+J46+J45+J44+J42+J41+J40+J39+J38+J37+J36+J35+J33+J32+J31+J30+J29+J28+J27+J26+J25+J24+J23+J22+J21+J20+J18+J17+J16+J15+J14+J13+J11</f>
        <v>369273366</v>
      </c>
      <c r="K186" s="1113">
        <f t="shared" ref="K186:M186" si="14">K183+K182+K181+K180+K179+K178+K177+K176+K175+K174+K173+K172+K171+K170+K169+K168+K166+K164+K163+K162+K161+K159+K158+K156+K152+K151+K150+K149+K144+K133+K131+K129+K124+K121+K120+K119+K113+K109+K106+K105+K104+K103+K102+K98+K96+K95+K94+K90+K89+K86+K85+K84+K82+K81+K80+K79+K78+K77+K74+K73+K72+K71+K69+K67+K66+K65+K64+K63+K62+K61+K60+K59+K58+K57+K56+K55+K54+K53+K52+K51+K50+K49+K48+K47+K46+K45+K44+K42+K41+K40+K39+K38+K37+K36+K35+K33+K32+K31+K30+K29+K28+K27+K26+K25+K24+K23+K22+K21+K20+K18+K17+K16+K15+K14+K13+K11</f>
        <v>62263639</v>
      </c>
      <c r="L186" s="1113">
        <f t="shared" si="14"/>
        <v>13680988</v>
      </c>
      <c r="M186" s="683">
        <f t="shared" si="14"/>
        <v>293328739</v>
      </c>
      <c r="N186" s="681"/>
      <c r="O186" s="684"/>
      <c r="P186" s="681"/>
      <c r="Q186" s="680"/>
      <c r="R186" s="680"/>
      <c r="S186" s="680"/>
      <c r="T186" s="680"/>
      <c r="U186" s="680"/>
      <c r="V186" s="680"/>
      <c r="W186" s="680"/>
    </row>
    <row r="187" spans="1:30" s="246" customFormat="1">
      <c r="A187" s="685"/>
      <c r="B187" s="1078"/>
      <c r="C187" s="687"/>
      <c r="D187" s="688"/>
      <c r="E187" s="689"/>
      <c r="F187" s="1024"/>
      <c r="G187" s="690"/>
      <c r="H187" s="691"/>
      <c r="I187" s="691"/>
      <c r="J187" s="1114"/>
      <c r="K187" s="1115"/>
      <c r="L187" s="1115"/>
      <c r="M187" s="692"/>
      <c r="N187" s="693"/>
      <c r="O187" s="693"/>
      <c r="P187" s="694"/>
      <c r="Q187" s="695"/>
      <c r="R187" s="653"/>
      <c r="S187" s="696"/>
      <c r="T187" s="654"/>
      <c r="U187" s="697"/>
      <c r="V187" s="698"/>
      <c r="W187" s="699"/>
      <c r="X187" s="445"/>
      <c r="Y187" s="445"/>
      <c r="Z187" s="245"/>
      <c r="AA187" s="446"/>
      <c r="AB187" s="244"/>
      <c r="AC187" s="244"/>
      <c r="AD187" s="245"/>
    </row>
    <row r="188" spans="1:30" s="246" customFormat="1">
      <c r="A188" s="685"/>
      <c r="B188" s="1079"/>
      <c r="C188" s="687"/>
      <c r="D188" s="688"/>
      <c r="E188" s="689"/>
      <c r="F188" s="1024"/>
      <c r="G188" s="690"/>
      <c r="H188" s="691">
        <v>235</v>
      </c>
      <c r="I188" s="691" t="s">
        <v>822</v>
      </c>
      <c r="J188" s="1191">
        <f>J184+'anexa 100% MTI'!I70</f>
        <v>450056833.08999997</v>
      </c>
      <c r="K188" s="1191">
        <f>K184+'anexa 100% MTI'!J70</f>
        <v>102245784.25999999</v>
      </c>
      <c r="L188" s="1191">
        <f>L184+'anexa 100% MTI'!K70</f>
        <v>17468687</v>
      </c>
      <c r="M188" s="1191">
        <f>M184+'anexa 100% MTI'!L70</f>
        <v>330342361.82999998</v>
      </c>
      <c r="N188" s="693"/>
      <c r="O188" s="693"/>
      <c r="P188" s="694"/>
      <c r="Q188" s="695"/>
      <c r="R188" s="653"/>
      <c r="S188" s="696"/>
      <c r="T188" s="654"/>
      <c r="U188" s="697"/>
      <c r="V188" s="698"/>
      <c r="W188" s="699"/>
      <c r="X188" s="445"/>
      <c r="Y188" s="445"/>
      <c r="Z188" s="245"/>
      <c r="AA188" s="446"/>
      <c r="AB188" s="244"/>
      <c r="AC188" s="244"/>
      <c r="AD188" s="245"/>
    </row>
    <row r="189" spans="1:30" s="246" customFormat="1">
      <c r="A189" s="685"/>
      <c r="B189" s="1080"/>
      <c r="C189" s="687"/>
      <c r="D189" s="688"/>
      <c r="E189" s="689"/>
      <c r="F189" s="1024"/>
      <c r="G189" s="690"/>
      <c r="H189" s="1192">
        <v>12</v>
      </c>
      <c r="I189" s="1192" t="s">
        <v>21</v>
      </c>
      <c r="J189" s="1191">
        <f>J167+J165+J160+J157+J153+J148+J130+J125+J97+J91+J19+J12</f>
        <v>7123326</v>
      </c>
      <c r="K189" s="1191">
        <f t="shared" ref="K189:M189" si="15">K167+K165+K160+K157+K153+K148+K130+K125+K97+K91+K19+K12</f>
        <v>2681175</v>
      </c>
      <c r="L189" s="1191">
        <f t="shared" si="15"/>
        <v>781009</v>
      </c>
      <c r="M189" s="1191">
        <f t="shared" si="15"/>
        <v>3661142</v>
      </c>
      <c r="N189" s="693"/>
      <c r="O189" s="693"/>
      <c r="P189" s="694"/>
      <c r="Q189" s="695"/>
      <c r="R189" s="653"/>
      <c r="S189" s="696"/>
      <c r="T189" s="654"/>
      <c r="U189" s="697"/>
      <c r="V189" s="698"/>
      <c r="W189" s="699"/>
      <c r="X189" s="445"/>
      <c r="Y189" s="445"/>
      <c r="Z189" s="245"/>
      <c r="AA189" s="446"/>
      <c r="AB189" s="244"/>
      <c r="AC189" s="244"/>
      <c r="AD189" s="245"/>
    </row>
    <row r="190" spans="1:30" s="246" customFormat="1" ht="15.75" customHeight="1">
      <c r="A190" s="700"/>
      <c r="B190" s="1081"/>
      <c r="C190" s="700"/>
      <c r="D190" s="700"/>
      <c r="E190" s="700"/>
      <c r="F190" s="1025"/>
      <c r="G190" s="700"/>
      <c r="H190" s="700">
        <v>29</v>
      </c>
      <c r="I190" s="700" t="s">
        <v>107</v>
      </c>
      <c r="J190" s="1193">
        <f>J155+J154+J147+J146+J139+J138+J137+J136+J135+J134+J132+J123+J116+J115+J114+J112+J111+J110+J108+J107+J101+J100+J99+J93+J88+J87+J83+J70+J34</f>
        <v>8644803</v>
      </c>
      <c r="K190" s="1193">
        <f t="shared" ref="K190:M190" si="16">K155+K154+K147+K146+K139+K138+K137+K136+K135+K134+K132+K123+K116+K115+K114+K112+K111+K110+K108+K107+K101+K100+K99+K93+K88+K87+K83+K70+K34</f>
        <v>557743</v>
      </c>
      <c r="L190" s="1193">
        <f t="shared" si="16"/>
        <v>707065</v>
      </c>
      <c r="M190" s="1193">
        <f t="shared" si="16"/>
        <v>7379995</v>
      </c>
      <c r="N190" s="700"/>
      <c r="O190" s="700"/>
      <c r="P190" s="700"/>
      <c r="Q190" s="701"/>
      <c r="R190" s="701"/>
      <c r="S190" s="702"/>
      <c r="T190" s="703"/>
      <c r="U190" s="704"/>
      <c r="V190" s="705"/>
      <c r="W190" s="703"/>
      <c r="X190" s="452"/>
      <c r="Y190" s="452"/>
      <c r="AB190" s="112"/>
      <c r="AC190" s="112"/>
    </row>
    <row r="191" spans="1:30" s="246" customFormat="1" ht="17.45" customHeight="1">
      <c r="A191" s="700"/>
      <c r="B191" s="1081"/>
      <c r="C191" s="700"/>
      <c r="D191" s="700"/>
      <c r="E191" s="700"/>
      <c r="F191" s="1025"/>
      <c r="G191" s="700"/>
      <c r="H191" s="700">
        <v>9</v>
      </c>
      <c r="I191" s="700" t="s">
        <v>60</v>
      </c>
      <c r="J191" s="1193">
        <f>J143+J141+J140+J128+J127+J126+J118+J92+J43</f>
        <v>15668068</v>
      </c>
      <c r="K191" s="1193">
        <f t="shared" ref="K191:M191" si="17">K143+K141+K140+K128+K127+K126+K118+K92+K43</f>
        <v>175160</v>
      </c>
      <c r="L191" s="1193">
        <f t="shared" si="17"/>
        <v>640926</v>
      </c>
      <c r="M191" s="1193">
        <f t="shared" si="17"/>
        <v>14851982</v>
      </c>
      <c r="N191" s="706"/>
      <c r="O191" s="706"/>
      <c r="P191" s="707"/>
      <c r="Q191" s="701"/>
      <c r="R191" s="701"/>
      <c r="S191" s="708"/>
      <c r="T191" s="703"/>
      <c r="U191" s="709"/>
      <c r="V191" s="705"/>
      <c r="W191" s="703"/>
      <c r="X191" s="452"/>
      <c r="Y191" s="452"/>
    </row>
    <row r="192" spans="1:30" s="246" customFormat="1" ht="17.45" customHeight="1">
      <c r="A192" s="700"/>
      <c r="B192" s="1081"/>
      <c r="C192" s="700"/>
      <c r="D192" s="700"/>
      <c r="E192" s="700"/>
      <c r="F192" s="1025"/>
      <c r="G192" s="700"/>
      <c r="H192" s="700">
        <v>2</v>
      </c>
      <c r="I192" s="700" t="s">
        <v>287</v>
      </c>
      <c r="J192" s="1193">
        <f>J117+J122</f>
        <v>1175463</v>
      </c>
      <c r="K192" s="1193">
        <f t="shared" ref="K192:M192" si="18">K117+K122</f>
        <v>12833</v>
      </c>
      <c r="L192" s="1193">
        <f t="shared" si="18"/>
        <v>25000</v>
      </c>
      <c r="M192" s="1193">
        <f t="shared" si="18"/>
        <v>1137630</v>
      </c>
      <c r="N192" s="706"/>
      <c r="O192" s="706"/>
      <c r="P192" s="707"/>
      <c r="Q192" s="701"/>
      <c r="R192" s="701"/>
      <c r="S192" s="702"/>
      <c r="T192" s="703"/>
      <c r="U192" s="709"/>
      <c r="V192" s="710"/>
      <c r="W192" s="703"/>
      <c r="X192" s="452"/>
      <c r="Y192" s="452"/>
    </row>
    <row r="193" spans="1:95" s="246" customFormat="1">
      <c r="A193" s="686"/>
      <c r="B193" s="1080"/>
      <c r="C193" s="686"/>
      <c r="D193" s="686"/>
      <c r="E193" s="686"/>
      <c r="F193" s="1026"/>
      <c r="G193" s="711"/>
      <c r="H193" s="1194">
        <v>3</v>
      </c>
      <c r="I193" s="1194" t="s">
        <v>223</v>
      </c>
      <c r="J193" s="1195">
        <f>J75+J142+J145</f>
        <v>508215</v>
      </c>
      <c r="K193" s="1195">
        <f t="shared" ref="K193:M193" si="19">K75+K142+K145</f>
        <v>3366</v>
      </c>
      <c r="L193" s="1195">
        <f t="shared" si="19"/>
        <v>89929</v>
      </c>
      <c r="M193" s="1195">
        <f t="shared" si="19"/>
        <v>414920</v>
      </c>
      <c r="N193" s="686"/>
      <c r="O193" s="686"/>
      <c r="P193" s="712"/>
      <c r="Q193" s="713"/>
      <c r="R193" s="713"/>
      <c r="S193" s="713"/>
      <c r="T193" s="714"/>
      <c r="U193" s="714"/>
      <c r="V193" s="710"/>
      <c r="W193" s="714"/>
      <c r="X193" s="462"/>
      <c r="Y193" s="462"/>
    </row>
    <row r="194" spans="1:95" s="246" customFormat="1" ht="15.75" customHeight="1">
      <c r="A194" s="715"/>
      <c r="B194" s="1082"/>
      <c r="C194" s="716"/>
      <c r="D194" s="716"/>
      <c r="E194" s="716"/>
      <c r="F194" s="1027"/>
      <c r="G194" s="717"/>
      <c r="H194" s="718"/>
      <c r="I194" s="718"/>
      <c r="J194" s="1084"/>
      <c r="K194" s="1084"/>
      <c r="L194" s="1084"/>
      <c r="M194" s="718"/>
      <c r="N194" s="718"/>
      <c r="O194" s="718"/>
      <c r="P194" s="718"/>
      <c r="Q194" s="719"/>
      <c r="R194" s="719"/>
      <c r="S194" s="719"/>
      <c r="T194" s="720"/>
      <c r="U194" s="721"/>
      <c r="V194" s="722"/>
      <c r="W194" s="714"/>
      <c r="X194" s="462"/>
      <c r="Y194" s="462"/>
    </row>
    <row r="195" spans="1:95" s="246" customFormat="1" ht="18.75">
      <c r="A195" s="718"/>
      <c r="B195" s="1083"/>
      <c r="C195" s="723"/>
      <c r="D195" s="723"/>
      <c r="E195" s="723"/>
      <c r="F195" s="1028"/>
      <c r="G195" s="724"/>
      <c r="H195" s="725"/>
      <c r="I195" s="725"/>
      <c r="J195" s="1116"/>
      <c r="K195" s="1116"/>
      <c r="L195" s="1116"/>
      <c r="M195" s="725"/>
      <c r="N195" s="725"/>
      <c r="O195" s="725"/>
      <c r="P195" s="725"/>
      <c r="Q195" s="726"/>
      <c r="R195" s="726"/>
      <c r="S195" s="726"/>
      <c r="T195" s="726"/>
      <c r="U195" s="710"/>
      <c r="V195" s="722"/>
      <c r="W195" s="727"/>
      <c r="X195" s="477"/>
      <c r="Y195" s="477"/>
      <c r="Z195" s="477"/>
      <c r="AA195" s="477"/>
      <c r="AB195" s="477"/>
      <c r="AC195" s="477"/>
      <c r="AD195" s="477"/>
      <c r="AE195" s="477"/>
      <c r="AF195" s="477"/>
      <c r="AG195" s="477"/>
      <c r="AH195" s="477"/>
      <c r="AI195" s="477"/>
      <c r="AJ195" s="477"/>
      <c r="AK195" s="477"/>
      <c r="AL195" s="477"/>
      <c r="AM195" s="477"/>
      <c r="AN195" s="477"/>
      <c r="AO195" s="477"/>
      <c r="AP195" s="477"/>
      <c r="AQ195" s="477"/>
      <c r="AR195" s="477"/>
      <c r="AS195" s="477"/>
      <c r="AT195" s="477"/>
      <c r="AU195" s="477"/>
      <c r="AV195" s="477"/>
      <c r="AW195" s="477"/>
      <c r="AX195" s="477"/>
      <c r="AY195" s="477"/>
      <c r="AZ195" s="477"/>
      <c r="BA195" s="477"/>
      <c r="BB195" s="477"/>
      <c r="BC195" s="477"/>
      <c r="BD195" s="477"/>
      <c r="BE195" s="477"/>
      <c r="BF195" s="477"/>
      <c r="BG195" s="477"/>
      <c r="BH195" s="477"/>
      <c r="BI195" s="477"/>
      <c r="BJ195" s="477"/>
      <c r="BK195" s="477"/>
      <c r="BL195" s="477"/>
      <c r="BM195" s="477"/>
      <c r="BN195" s="477"/>
      <c r="BO195" s="477"/>
      <c r="BP195" s="477"/>
      <c r="BQ195" s="477"/>
      <c r="BR195" s="477"/>
      <c r="BS195" s="477"/>
      <c r="BT195" s="477"/>
      <c r="BU195" s="477"/>
      <c r="BV195" s="477"/>
      <c r="BW195" s="477"/>
      <c r="BX195" s="477"/>
      <c r="BY195" s="477"/>
      <c r="BZ195" s="477"/>
      <c r="CA195" s="477"/>
      <c r="CB195" s="477"/>
      <c r="CC195" s="477"/>
      <c r="CD195" s="477"/>
      <c r="CE195" s="477"/>
      <c r="CF195" s="477"/>
      <c r="CG195" s="477"/>
      <c r="CH195" s="477"/>
      <c r="CI195" s="477"/>
      <c r="CJ195" s="477"/>
      <c r="CK195" s="477"/>
      <c r="CL195" s="477"/>
      <c r="CM195" s="477"/>
      <c r="CN195" s="477"/>
      <c r="CO195" s="477"/>
      <c r="CP195" s="477"/>
      <c r="CQ195" s="477"/>
    </row>
    <row r="196" spans="1:95" s="246" customFormat="1" ht="18.75">
      <c r="A196" s="718"/>
      <c r="B196" s="1084"/>
      <c r="C196" s="723"/>
      <c r="D196" s="723"/>
      <c r="E196" s="723"/>
      <c r="F196" s="1028"/>
      <c r="G196" s="724"/>
      <c r="H196" s="725"/>
      <c r="I196" s="725"/>
      <c r="J196" s="1116"/>
      <c r="K196" s="1116"/>
      <c r="L196" s="1116"/>
      <c r="M196" s="725"/>
      <c r="N196" s="725"/>
      <c r="O196" s="725"/>
      <c r="P196" s="725"/>
      <c r="Q196" s="728"/>
      <c r="R196" s="728"/>
      <c r="S196" s="729"/>
      <c r="T196" s="730"/>
      <c r="U196" s="710"/>
      <c r="V196" s="710"/>
      <c r="W196" s="727"/>
      <c r="X196" s="477"/>
      <c r="Y196" s="477"/>
      <c r="Z196" s="477"/>
      <c r="AA196" s="477"/>
      <c r="AB196" s="477"/>
      <c r="AC196" s="477"/>
      <c r="AD196" s="477"/>
      <c r="AE196" s="477"/>
      <c r="AF196" s="477"/>
      <c r="AG196" s="477"/>
      <c r="AH196" s="477"/>
      <c r="AI196" s="477"/>
      <c r="AJ196" s="477"/>
      <c r="AK196" s="477"/>
      <c r="AL196" s="477"/>
      <c r="AM196" s="477"/>
      <c r="AN196" s="477"/>
      <c r="AO196" s="477"/>
      <c r="AP196" s="477"/>
      <c r="AQ196" s="477"/>
      <c r="AR196" s="477"/>
      <c r="AS196" s="477"/>
      <c r="AT196" s="477"/>
      <c r="AU196" s="477"/>
      <c r="AV196" s="477"/>
      <c r="AW196" s="477"/>
      <c r="AX196" s="477"/>
      <c r="AY196" s="477"/>
      <c r="AZ196" s="477"/>
      <c r="BA196" s="477"/>
      <c r="BB196" s="477"/>
      <c r="BC196" s="477"/>
      <c r="BD196" s="477"/>
      <c r="BE196" s="477"/>
      <c r="BF196" s="477"/>
      <c r="BG196" s="477"/>
      <c r="BH196" s="477"/>
      <c r="BI196" s="477"/>
      <c r="BJ196" s="477"/>
      <c r="BK196" s="477"/>
      <c r="BL196" s="477"/>
      <c r="BM196" s="477"/>
      <c r="BN196" s="477"/>
      <c r="BO196" s="477"/>
      <c r="BP196" s="477"/>
      <c r="BQ196" s="477"/>
      <c r="BR196" s="477"/>
      <c r="BS196" s="477"/>
      <c r="BT196" s="477"/>
      <c r="BU196" s="477"/>
      <c r="BV196" s="477"/>
      <c r="BW196" s="477"/>
      <c r="BX196" s="477"/>
      <c r="BY196" s="477"/>
      <c r="BZ196" s="477"/>
      <c r="CA196" s="477"/>
      <c r="CB196" s="477"/>
      <c r="CC196" s="477"/>
      <c r="CD196" s="477"/>
      <c r="CE196" s="477"/>
      <c r="CF196" s="477"/>
      <c r="CG196" s="477"/>
      <c r="CH196" s="477"/>
      <c r="CI196" s="477"/>
      <c r="CJ196" s="477"/>
      <c r="CK196" s="477"/>
      <c r="CL196" s="477"/>
      <c r="CM196" s="477"/>
      <c r="CN196" s="477"/>
      <c r="CO196" s="477"/>
      <c r="CP196" s="477"/>
      <c r="CQ196" s="477"/>
    </row>
    <row r="197" spans="1:95" s="246" customFormat="1" ht="39" customHeight="1">
      <c r="A197" s="718"/>
      <c r="B197" s="1085"/>
      <c r="C197" s="731"/>
      <c r="D197" s="731"/>
      <c r="E197" s="731"/>
      <c r="F197" s="1029"/>
      <c r="G197" s="731"/>
      <c r="H197" s="731"/>
      <c r="I197" s="731"/>
      <c r="J197" s="1117"/>
      <c r="K197" s="1117"/>
      <c r="L197" s="1117"/>
      <c r="M197" s="731"/>
      <c r="N197" s="731"/>
      <c r="O197" s="731"/>
      <c r="P197" s="731"/>
      <c r="Q197" s="728"/>
      <c r="R197" s="728"/>
      <c r="S197" s="729"/>
      <c r="T197" s="730"/>
      <c r="U197" s="710"/>
      <c r="V197" s="710"/>
      <c r="W197" s="727"/>
      <c r="X197" s="477"/>
      <c r="Y197" s="477"/>
      <c r="Z197" s="477"/>
      <c r="AA197" s="477"/>
      <c r="AB197" s="477"/>
      <c r="AC197" s="477"/>
      <c r="AD197" s="477"/>
      <c r="AE197" s="477"/>
      <c r="AF197" s="477"/>
      <c r="AG197" s="477"/>
      <c r="AH197" s="477"/>
      <c r="AI197" s="477"/>
      <c r="AJ197" s="477"/>
      <c r="AK197" s="477"/>
      <c r="AL197" s="477"/>
      <c r="AM197" s="477"/>
      <c r="AN197" s="477"/>
      <c r="AO197" s="477"/>
      <c r="AP197" s="477"/>
      <c r="AQ197" s="477"/>
      <c r="AR197" s="477"/>
      <c r="AS197" s="477"/>
      <c r="AT197" s="477"/>
      <c r="AU197" s="477"/>
      <c r="AV197" s="477"/>
      <c r="AW197" s="477"/>
      <c r="AX197" s="477"/>
      <c r="AY197" s="477"/>
      <c r="AZ197" s="477"/>
      <c r="BA197" s="477"/>
      <c r="BB197" s="477"/>
      <c r="BC197" s="477"/>
      <c r="BD197" s="477"/>
      <c r="BE197" s="477"/>
      <c r="BF197" s="477"/>
      <c r="BG197" s="477"/>
      <c r="BH197" s="477"/>
      <c r="BI197" s="477"/>
      <c r="BJ197" s="477"/>
      <c r="BK197" s="477"/>
      <c r="BL197" s="477"/>
      <c r="BM197" s="477"/>
      <c r="BN197" s="477"/>
      <c r="BO197" s="477"/>
      <c r="BP197" s="477"/>
      <c r="BQ197" s="477"/>
      <c r="BR197" s="477"/>
      <c r="BS197" s="477"/>
      <c r="BT197" s="477"/>
      <c r="BU197" s="477"/>
      <c r="BV197" s="477"/>
      <c r="BW197" s="477"/>
      <c r="BX197" s="477"/>
      <c r="BY197" s="477"/>
      <c r="BZ197" s="477"/>
      <c r="CA197" s="477"/>
      <c r="CB197" s="477"/>
      <c r="CC197" s="477"/>
      <c r="CD197" s="477"/>
      <c r="CE197" s="477"/>
      <c r="CF197" s="477"/>
      <c r="CG197" s="477"/>
      <c r="CH197" s="477"/>
      <c r="CI197" s="477"/>
      <c r="CJ197" s="477"/>
      <c r="CK197" s="477"/>
      <c r="CL197" s="477"/>
      <c r="CM197" s="477"/>
      <c r="CN197" s="477"/>
      <c r="CO197" s="477"/>
      <c r="CP197" s="477"/>
      <c r="CQ197" s="477"/>
    </row>
    <row r="198" spans="1:95" s="246" customFormat="1" ht="18.75">
      <c r="A198" s="718"/>
      <c r="B198" s="1084"/>
      <c r="C198" s="723"/>
      <c r="D198" s="723"/>
      <c r="E198" s="723"/>
      <c r="F198" s="1028"/>
      <c r="G198" s="724"/>
      <c r="H198" s="725"/>
      <c r="I198" s="725"/>
      <c r="J198" s="1116"/>
      <c r="K198" s="1116"/>
      <c r="L198" s="1116"/>
      <c r="M198" s="725"/>
      <c r="N198" s="725"/>
      <c r="O198" s="725"/>
      <c r="P198" s="725"/>
      <c r="Q198" s="732"/>
      <c r="R198" s="732"/>
      <c r="S198" s="732"/>
      <c r="T198" s="733"/>
      <c r="U198" s="710"/>
      <c r="V198" s="710"/>
      <c r="W198" s="734"/>
      <c r="X198" s="484"/>
      <c r="Y198" s="484"/>
    </row>
    <row r="199" spans="1:95" s="246" customFormat="1" ht="18.75">
      <c r="A199" s="718"/>
      <c r="B199" s="1084"/>
      <c r="C199" s="723"/>
      <c r="D199" s="723"/>
      <c r="E199" s="723"/>
      <c r="F199" s="1028"/>
      <c r="G199" s="735"/>
      <c r="H199" s="725"/>
      <c r="I199" s="725"/>
      <c r="J199" s="1116"/>
      <c r="K199" s="1116"/>
      <c r="L199" s="1116"/>
      <c r="M199" s="725"/>
      <c r="N199" s="725"/>
      <c r="O199" s="725"/>
      <c r="P199" s="725"/>
      <c r="Q199" s="726"/>
      <c r="R199" s="726"/>
      <c r="S199" s="726"/>
      <c r="T199" s="726"/>
      <c r="U199" s="736"/>
      <c r="V199" s="710"/>
      <c r="W199" s="722"/>
      <c r="X199" s="472"/>
      <c r="Y199" s="472"/>
      <c r="AC199" s="244"/>
    </row>
    <row r="200" spans="1:95" s="246" customFormat="1" ht="18.75">
      <c r="A200" s="718"/>
      <c r="B200" s="1086"/>
      <c r="C200" s="716"/>
      <c r="D200" s="716"/>
      <c r="E200" s="716"/>
      <c r="F200" s="1027"/>
      <c r="G200" s="717"/>
      <c r="H200" s="718"/>
      <c r="I200" s="718"/>
      <c r="J200" s="1084"/>
      <c r="K200" s="1084"/>
      <c r="L200" s="1084"/>
      <c r="M200" s="718"/>
      <c r="N200" s="718"/>
      <c r="O200" s="718"/>
      <c r="P200" s="718"/>
      <c r="Q200" s="737"/>
      <c r="R200" s="737"/>
      <c r="S200" s="738"/>
      <c r="T200" s="733"/>
      <c r="U200" s="710"/>
      <c r="V200" s="705"/>
      <c r="W200" s="734"/>
      <c r="X200" s="484"/>
      <c r="Y200" s="484"/>
    </row>
    <row r="201" spans="1:95" s="246" customFormat="1" ht="18.75">
      <c r="A201" s="685"/>
      <c r="B201" s="1080"/>
      <c r="C201" s="739"/>
      <c r="D201" s="739"/>
      <c r="E201" s="739"/>
      <c r="F201" s="1030"/>
      <c r="G201" s="740"/>
      <c r="H201" s="741"/>
      <c r="I201" s="741"/>
      <c r="J201" s="1118"/>
      <c r="K201" s="1119"/>
      <c r="L201" s="1120"/>
      <c r="M201" s="742"/>
      <c r="N201" s="742"/>
      <c r="O201" s="742"/>
      <c r="P201" s="742"/>
      <c r="Q201" s="743"/>
      <c r="R201" s="743"/>
      <c r="S201" s="744"/>
      <c r="T201" s="745"/>
      <c r="U201" s="746"/>
      <c r="V201" s="705"/>
      <c r="W201" s="705"/>
    </row>
    <row r="202" spans="1:95" s="748" customFormat="1" ht="94.5" customHeight="1">
      <c r="A202" s="747"/>
      <c r="B202" s="1087"/>
      <c r="C202" s="747"/>
      <c r="D202" s="747"/>
      <c r="E202" s="747"/>
      <c r="F202" s="1031"/>
      <c r="G202" s="747"/>
      <c r="H202" s="747"/>
      <c r="I202" s="747"/>
      <c r="J202" s="1087"/>
      <c r="K202" s="1087"/>
      <c r="L202" s="1087"/>
      <c r="M202" s="747"/>
      <c r="N202" s="747"/>
      <c r="O202" s="747"/>
      <c r="P202" s="747"/>
    </row>
    <row r="203" spans="1:95" s="748" customFormat="1" ht="138" customHeight="1">
      <c r="B203" s="1088"/>
      <c r="F203" s="1032"/>
      <c r="J203" s="1088"/>
      <c r="K203" s="1088"/>
      <c r="L203" s="1088"/>
    </row>
    <row r="204" spans="1:95" s="517" customFormat="1" ht="16.5" hidden="1" customHeight="1">
      <c r="A204" s="503"/>
      <c r="B204" s="504"/>
      <c r="C204" s="505"/>
      <c r="D204" s="505"/>
      <c r="E204" s="506"/>
      <c r="F204" s="1033"/>
      <c r="G204" s="508"/>
      <c r="H204" s="507"/>
      <c r="I204" s="507"/>
      <c r="J204" s="509"/>
      <c r="K204" s="510"/>
      <c r="L204" s="510"/>
      <c r="M204" s="511"/>
      <c r="N204" s="512"/>
      <c r="O204" s="513"/>
      <c r="P204" s="514"/>
    </row>
    <row r="205" spans="1:95" s="517" customFormat="1" ht="15" hidden="1" customHeight="1">
      <c r="A205" s="503"/>
      <c r="B205" s="504" t="s">
        <v>377</v>
      </c>
      <c r="C205" s="503"/>
      <c r="D205" s="503"/>
      <c r="E205" s="510" t="s">
        <v>378</v>
      </c>
      <c r="F205" s="1034" t="s">
        <v>379</v>
      </c>
      <c r="G205" s="518" t="s">
        <v>380</v>
      </c>
      <c r="H205" s="519" t="s">
        <v>381</v>
      </c>
      <c r="I205" s="520" t="s">
        <v>382</v>
      </c>
      <c r="J205" s="521" t="s">
        <v>383</v>
      </c>
      <c r="K205" s="522"/>
      <c r="L205" s="522"/>
      <c r="M205" s="523"/>
      <c r="N205" s="524" t="s">
        <v>384</v>
      </c>
      <c r="O205" s="525" t="s">
        <v>385</v>
      </c>
      <c r="P205" s="514" t="s">
        <v>386</v>
      </c>
      <c r="Q205" s="528"/>
      <c r="R205" s="528"/>
    </row>
    <row r="206" spans="1:95" s="517" customFormat="1" ht="15" hidden="1" customHeight="1">
      <c r="A206" s="529">
        <v>1</v>
      </c>
      <c r="B206" s="530" t="s">
        <v>395</v>
      </c>
      <c r="C206" s="531" t="s">
        <v>41</v>
      </c>
      <c r="D206" s="531">
        <f>COUNTIF($C$39:$C$172,"MTI")</f>
        <v>80</v>
      </c>
      <c r="E206" s="532">
        <f>D206/D215</f>
        <v>0.59701492537313428</v>
      </c>
      <c r="F206" s="1035">
        <f>COUNTIFS($C$39:$C$172,"MTI",$H$39:$H$172,"0,00%")</f>
        <v>46</v>
      </c>
      <c r="G206" s="534">
        <f>COUNTIFS($C$39:$C$172,"MTI",$H$39:$H$172,"&gt;0,00%")-COUNTIFS($C$39:$C$172,"MTI",$H$39:$H$172,"100,00%")</f>
        <v>32</v>
      </c>
      <c r="H206" s="535">
        <f>COUNTIFS($C$39:$C$200,"MTI",$H$39:$H$200,"100,00%")</f>
        <v>0</v>
      </c>
      <c r="I206" s="536">
        <f t="shared" ref="I206:I214" si="20">D206-F206-G206-H206</f>
        <v>2</v>
      </c>
      <c r="J206" s="537">
        <f t="shared" ref="J206:J214" si="21">F206+G206</f>
        <v>78</v>
      </c>
      <c r="K206" s="538"/>
      <c r="L206" s="538"/>
      <c r="M206" s="539" t="s">
        <v>41</v>
      </c>
      <c r="N206" s="540">
        <f t="shared" ref="N206:N214" si="22">SUMIF($C$39:$C$172,$C206,J$39:J$172)</f>
        <v>299920227</v>
      </c>
      <c r="O206" s="541">
        <f t="shared" ref="O206:O214" si="23">SUMIF($C$39:$C$172,$C206,M$39:M$172)</f>
        <v>240800106</v>
      </c>
      <c r="P206" s="542">
        <f t="shared" ref="P206:P212" si="24">I219+C219</f>
        <v>299920227</v>
      </c>
      <c r="Q206" s="544"/>
      <c r="R206" s="544"/>
      <c r="S206" s="544"/>
      <c r="T206" s="544"/>
      <c r="U206" s="544"/>
    </row>
    <row r="207" spans="1:95" s="517" customFormat="1" ht="15" hidden="1" customHeight="1">
      <c r="A207" s="529">
        <v>2</v>
      </c>
      <c r="B207" s="545" t="s">
        <v>396</v>
      </c>
      <c r="C207" s="531" t="s">
        <v>60</v>
      </c>
      <c r="D207" s="531">
        <f>COUNTIF($C$39:$C$172,"MS")</f>
        <v>9</v>
      </c>
      <c r="E207" s="532">
        <f>D207/D215</f>
        <v>6.7164179104477612E-2</v>
      </c>
      <c r="F207" s="1035">
        <f>COUNTIFS($C$39:$C$200,"MS",$H$39:$H$200,"0,00%")</f>
        <v>8</v>
      </c>
      <c r="G207" s="546">
        <f>COUNTIFS($C$47:$C$172,"MS",$H$47:$H$172,"&gt;0,00%")-COUNTIFS($C$47:$C$172,"MS",$H$47:$H$172,"100,00%")</f>
        <v>1</v>
      </c>
      <c r="H207" s="535">
        <f>COUNTIFS($C$47:$C$172,"MS",$H$47:$H$172,"100,00%")</f>
        <v>0</v>
      </c>
      <c r="I207" s="536">
        <f t="shared" si="20"/>
        <v>0</v>
      </c>
      <c r="J207" s="537">
        <f t="shared" si="21"/>
        <v>9</v>
      </c>
      <c r="K207" s="538"/>
      <c r="L207" s="538"/>
      <c r="M207" s="539" t="s">
        <v>60</v>
      </c>
      <c r="N207" s="540">
        <f t="shared" si="22"/>
        <v>15668068</v>
      </c>
      <c r="O207" s="541">
        <f t="shared" si="23"/>
        <v>14851982</v>
      </c>
      <c r="P207" s="542">
        <f t="shared" si="24"/>
        <v>15668068</v>
      </c>
      <c r="Q207" s="544"/>
      <c r="R207" s="544"/>
      <c r="S207" s="544"/>
      <c r="T207" s="544"/>
      <c r="U207" s="544"/>
    </row>
    <row r="208" spans="1:95" s="517" customFormat="1" ht="15" hidden="1" customHeight="1">
      <c r="A208" s="529">
        <v>3</v>
      </c>
      <c r="B208" s="545" t="s">
        <v>397</v>
      </c>
      <c r="C208" s="531" t="s">
        <v>287</v>
      </c>
      <c r="D208" s="531">
        <f>COUNTIF($C$39:$C$172,"MJ")</f>
        <v>2</v>
      </c>
      <c r="E208" s="532">
        <f>D208/D215</f>
        <v>1.4925373134328358E-2</v>
      </c>
      <c r="F208" s="1035">
        <f>COUNTIFS($C$47:$C$172,"MJ",$H$47:$H$172,"0,00%")</f>
        <v>0</v>
      </c>
      <c r="G208" s="546">
        <f>COUNTIFS($C$47:$C$172,"MJ",$H$47:$H$172,"&gt;0,00%")-COUNTIFS($C$47:$C$172,"MJ",$H$47:$H$172,"100,00%")</f>
        <v>2</v>
      </c>
      <c r="H208" s="535">
        <f>COUNTIFS($C$47:$C$172,"MJ",$H$47:$H$172,"100,00%")</f>
        <v>0</v>
      </c>
      <c r="I208" s="536">
        <f t="shared" si="20"/>
        <v>0</v>
      </c>
      <c r="J208" s="537">
        <f t="shared" si="21"/>
        <v>2</v>
      </c>
      <c r="K208" s="538"/>
      <c r="L208" s="538"/>
      <c r="M208" s="539" t="s">
        <v>287</v>
      </c>
      <c r="N208" s="540">
        <f t="shared" si="22"/>
        <v>1175463</v>
      </c>
      <c r="O208" s="541">
        <f t="shared" si="23"/>
        <v>1137630</v>
      </c>
      <c r="P208" s="542">
        <f t="shared" si="24"/>
        <v>1175463</v>
      </c>
      <c r="Q208" s="544"/>
      <c r="R208" s="544"/>
      <c r="S208" s="544"/>
      <c r="T208" s="544"/>
      <c r="U208" s="544"/>
    </row>
    <row r="209" spans="1:21" s="517" customFormat="1" ht="15" hidden="1" customHeight="1">
      <c r="A209" s="529">
        <v>4</v>
      </c>
      <c r="B209" s="547" t="s">
        <v>398</v>
      </c>
      <c r="C209" s="548" t="s">
        <v>107</v>
      </c>
      <c r="D209" s="531">
        <f>COUNTIF($C$39:$C$172,"MDLPA")</f>
        <v>28</v>
      </c>
      <c r="E209" s="532">
        <f>D209/D215</f>
        <v>0.20895522388059701</v>
      </c>
      <c r="F209" s="1035">
        <f>COUNTIFS($C$47:$C$172,"MDLPA",$H$47:$H$172,"0,00%")</f>
        <v>14</v>
      </c>
      <c r="G209" s="546">
        <f>COUNTIFS($C$47:$C$172,"MDLPA",$H$47:$H$172,"&gt;0,00%")-COUNTIFS($C$47:$C$172,"MDLPA",$H$47:$H$172,"100,00%")</f>
        <v>14</v>
      </c>
      <c r="H209" s="535">
        <f>COUNTIFS($C$47:$C$172,"MDLPA",$H$47:$H$172,"100,00%")</f>
        <v>0</v>
      </c>
      <c r="I209" s="536">
        <f t="shared" si="20"/>
        <v>0</v>
      </c>
      <c r="J209" s="537">
        <f t="shared" si="21"/>
        <v>28</v>
      </c>
      <c r="K209" s="538"/>
      <c r="L209" s="538"/>
      <c r="M209" s="548" t="s">
        <v>107</v>
      </c>
      <c r="N209" s="540">
        <f t="shared" si="22"/>
        <v>8372305</v>
      </c>
      <c r="O209" s="541">
        <f t="shared" si="23"/>
        <v>7182045</v>
      </c>
      <c r="P209" s="542">
        <f t="shared" si="24"/>
        <v>8372305</v>
      </c>
      <c r="Q209" s="544"/>
      <c r="R209" s="544"/>
      <c r="S209" s="544"/>
      <c r="T209" s="544"/>
      <c r="U209" s="544"/>
    </row>
    <row r="210" spans="1:21" s="517" customFormat="1" ht="15" hidden="1" customHeight="1">
      <c r="A210" s="529">
        <v>5</v>
      </c>
      <c r="B210" s="545" t="s">
        <v>399</v>
      </c>
      <c r="C210" s="549" t="s">
        <v>21</v>
      </c>
      <c r="D210" s="531">
        <f>COUNTIF($C$39:$C$172,"MMAP")</f>
        <v>10</v>
      </c>
      <c r="E210" s="532">
        <f>D210/D215</f>
        <v>7.4626865671641784E-2</v>
      </c>
      <c r="F210" s="1035">
        <f>COUNTIFS($C$39:$C$172,"MMAP",$H$39:$H$172,"0,00%")</f>
        <v>2</v>
      </c>
      <c r="G210" s="546">
        <f>COUNTIFS($C$39:$C$172,"MMAP",$H$39:$H$172,"&gt;0,00%")-COUNTIFS($C$39:$C$172,"MMAP",$H$39:$H$172,"100,00%")</f>
        <v>8</v>
      </c>
      <c r="H210" s="535">
        <f>COUNTIFS($C$47:$C$172,"MMAP",$H$47:$H$172,"100,00%")</f>
        <v>0</v>
      </c>
      <c r="I210" s="536">
        <f t="shared" si="20"/>
        <v>0</v>
      </c>
      <c r="J210" s="537">
        <f t="shared" si="21"/>
        <v>10</v>
      </c>
      <c r="K210" s="538"/>
      <c r="L210" s="538"/>
      <c r="M210" s="550" t="s">
        <v>21</v>
      </c>
      <c r="N210" s="540">
        <f t="shared" si="22"/>
        <v>3071629</v>
      </c>
      <c r="O210" s="541">
        <f t="shared" si="23"/>
        <v>1643894</v>
      </c>
      <c r="P210" s="542">
        <f t="shared" si="24"/>
        <v>3071629</v>
      </c>
      <c r="Q210" s="544"/>
      <c r="R210" s="544"/>
      <c r="S210" s="544"/>
      <c r="T210" s="544"/>
      <c r="U210" s="544"/>
    </row>
    <row r="211" spans="1:21" s="517" customFormat="1" ht="15" hidden="1" customHeight="1">
      <c r="A211" s="529">
        <v>6</v>
      </c>
      <c r="B211" s="545" t="s">
        <v>400</v>
      </c>
      <c r="C211" s="551" t="s">
        <v>401</v>
      </c>
      <c r="D211" s="531">
        <f>COUNTIF($C$39:$C$172,"MEEMA")</f>
        <v>0</v>
      </c>
      <c r="E211" s="532">
        <f>D211/D215</f>
        <v>0</v>
      </c>
      <c r="F211" s="1035">
        <f>COUNTIFS($C$47:$C$172,"ME",$H$47:$H$172,"0,00%")</f>
        <v>0</v>
      </c>
      <c r="G211" s="546">
        <f>COUNTIFS($C$47:$C$172,"ME",$H$47:$H$172,"&gt;0,00%")-COUNTIFS($C$47:$C$172,"ME",$H$47:$H$172,"100,00%")</f>
        <v>0</v>
      </c>
      <c r="H211" s="535">
        <f>COUNTIFS($C$47:$C$172,"ME",$H$47:$H$172,"100,00%")</f>
        <v>0</v>
      </c>
      <c r="I211" s="536">
        <f t="shared" si="20"/>
        <v>0</v>
      </c>
      <c r="J211" s="537">
        <f t="shared" si="21"/>
        <v>0</v>
      </c>
      <c r="K211" s="538"/>
      <c r="L211" s="538"/>
      <c r="M211" s="539" t="s">
        <v>401</v>
      </c>
      <c r="N211" s="540">
        <f t="shared" si="22"/>
        <v>0</v>
      </c>
      <c r="O211" s="541">
        <f t="shared" si="23"/>
        <v>0</v>
      </c>
      <c r="P211" s="542">
        <f t="shared" si="24"/>
        <v>0</v>
      </c>
      <c r="Q211" s="544"/>
      <c r="R211" s="544"/>
      <c r="S211" s="544"/>
      <c r="T211" s="544"/>
      <c r="U211" s="544"/>
    </row>
    <row r="212" spans="1:21" s="517" customFormat="1" ht="15" hidden="1" customHeight="1">
      <c r="A212" s="529">
        <v>7</v>
      </c>
      <c r="B212" s="545" t="s">
        <v>402</v>
      </c>
      <c r="C212" s="531" t="s">
        <v>57</v>
      </c>
      <c r="D212" s="531">
        <f>COUNTIF($C$39:$C$172,"MCID")</f>
        <v>1</v>
      </c>
      <c r="E212" s="532">
        <f>D212/D215</f>
        <v>7.462686567164179E-3</v>
      </c>
      <c r="F212" s="1035">
        <f>COUNTIFS($C$39:$C$172,"MCID",$H$39:$H$172,"0,00%")</f>
        <v>0</v>
      </c>
      <c r="G212" s="546">
        <f>COUNTIFS($C$39:$C$172,"MCID",$H$39:$H$172,"&gt;0,00%")-COUNTIFS($C$39:$C$172,"MCID",$H$39:$H$172,"100,00%")</f>
        <v>1</v>
      </c>
      <c r="H212" s="535">
        <f>COUNTIFS($C$47:$C$172,"MCID",$H$47:$H$172,"100,00%")</f>
        <v>0</v>
      </c>
      <c r="I212" s="536">
        <f t="shared" si="20"/>
        <v>0</v>
      </c>
      <c r="J212" s="537">
        <f t="shared" si="21"/>
        <v>1</v>
      </c>
      <c r="K212" s="538"/>
      <c r="L212" s="538"/>
      <c r="M212" s="539" t="s">
        <v>57</v>
      </c>
      <c r="N212" s="540">
        <f t="shared" si="22"/>
        <v>1739734</v>
      </c>
      <c r="O212" s="541">
        <f t="shared" si="23"/>
        <v>56090</v>
      </c>
      <c r="P212" s="542">
        <f t="shared" si="24"/>
        <v>1739734</v>
      </c>
      <c r="Q212" s="544"/>
      <c r="R212" s="544"/>
      <c r="S212" s="544"/>
      <c r="T212" s="544"/>
      <c r="U212" s="544"/>
    </row>
    <row r="213" spans="1:21" s="517" customFormat="1" ht="15" hidden="1" customHeight="1">
      <c r="A213" s="529">
        <v>8</v>
      </c>
      <c r="B213" s="545" t="s">
        <v>38</v>
      </c>
      <c r="C213" s="531" t="s">
        <v>38</v>
      </c>
      <c r="D213" s="531">
        <v>1</v>
      </c>
      <c r="E213" s="532">
        <f>D213/D215</f>
        <v>7.462686567164179E-3</v>
      </c>
      <c r="F213" s="1035">
        <f>COUNTIFS($C$39:$C$172,"SPP",$H$39:$H$172,"0,00%")</f>
        <v>0</v>
      </c>
      <c r="G213" s="546">
        <f>COUNTIFS($C$39:$C$172,"SPP",$H$39:$H$172,"&gt;0,00%")-COUNTIFS($C$39:$C$172,"SPP",$H$39:$H$172,"100,00%")</f>
        <v>0</v>
      </c>
      <c r="H213" s="535">
        <f>COUNTIFS($C$39:$C$172,"SPP",$H$39:$H$172,"100,00%")</f>
        <v>0</v>
      </c>
      <c r="I213" s="536">
        <f t="shared" si="20"/>
        <v>1</v>
      </c>
      <c r="J213" s="537">
        <f t="shared" si="21"/>
        <v>0</v>
      </c>
      <c r="K213" s="538"/>
      <c r="L213" s="538"/>
      <c r="M213" s="539" t="s">
        <v>38</v>
      </c>
      <c r="N213" s="540">
        <f t="shared" si="22"/>
        <v>0</v>
      </c>
      <c r="O213" s="541">
        <f t="shared" si="23"/>
        <v>0</v>
      </c>
      <c r="P213" s="542">
        <f>I227+C227</f>
        <v>508215</v>
      </c>
      <c r="Q213" s="544"/>
      <c r="R213" s="544"/>
      <c r="S213" s="544"/>
      <c r="T213" s="544"/>
      <c r="U213" s="544"/>
    </row>
    <row r="214" spans="1:21" s="517" customFormat="1" ht="15" hidden="1" customHeight="1">
      <c r="A214" s="529">
        <v>9</v>
      </c>
      <c r="B214" s="545" t="s">
        <v>403</v>
      </c>
      <c r="C214" s="531" t="s">
        <v>223</v>
      </c>
      <c r="D214" s="531">
        <f>COUNTIF($C$39:$C$172,"MApN")</f>
        <v>3</v>
      </c>
      <c r="E214" s="532">
        <f>D214/D215</f>
        <v>2.2388059701492536E-2</v>
      </c>
      <c r="F214" s="1035">
        <f>COUNTIFS($C$39:$C$172,"MApN",$H$39:$H$172,"0,00%")</f>
        <v>3</v>
      </c>
      <c r="G214" s="546">
        <f>COUNTIFS($C$47:$C$172,"MApN",$H$47:$H$172,"&gt;0,00%")-COUNTIFS($C$47:$C$172,"MApN",$H$47:$H$172,"100,00%")</f>
        <v>0</v>
      </c>
      <c r="H214" s="535">
        <f>COUNTIFS($C$39:$C$172,"MApN",$H$39:$H$172,"100,00%")</f>
        <v>0</v>
      </c>
      <c r="I214" s="536">
        <f t="shared" si="20"/>
        <v>0</v>
      </c>
      <c r="J214" s="537">
        <f t="shared" si="21"/>
        <v>3</v>
      </c>
      <c r="K214" s="538"/>
      <c r="L214" s="538"/>
      <c r="M214" s="539" t="str">
        <f>C214</f>
        <v>MApN</v>
      </c>
      <c r="N214" s="540">
        <f t="shared" si="22"/>
        <v>508215</v>
      </c>
      <c r="O214" s="541">
        <f t="shared" si="23"/>
        <v>414920</v>
      </c>
      <c r="P214" s="542">
        <f>I227+C227</f>
        <v>508215</v>
      </c>
      <c r="Q214" s="544"/>
      <c r="R214" s="544"/>
      <c r="S214" s="544"/>
      <c r="T214" s="544"/>
      <c r="U214" s="544"/>
    </row>
    <row r="215" spans="1:21" s="517" customFormat="1" ht="15" hidden="1" customHeight="1">
      <c r="A215" s="503"/>
      <c r="B215" s="552"/>
      <c r="C215" s="503"/>
      <c r="D215" s="553">
        <f>SUM(D206:D214)</f>
        <v>134</v>
      </c>
      <c r="E215" s="554">
        <f>SUM(E206:E214)</f>
        <v>1</v>
      </c>
      <c r="F215" s="1036">
        <f>SUM(F206:F214)</f>
        <v>73</v>
      </c>
      <c r="G215" s="556">
        <f>SUM(G206:G214)</f>
        <v>58</v>
      </c>
      <c r="H215" s="555">
        <f>SUM(H206:H214)</f>
        <v>0</v>
      </c>
      <c r="I215" s="557"/>
      <c r="J215" s="537">
        <f>SUM(J206:J214)</f>
        <v>131</v>
      </c>
      <c r="K215" s="558"/>
      <c r="L215" s="558"/>
      <c r="M215" s="559"/>
      <c r="N215" s="560">
        <f>SUM(N206:N214)</f>
        <v>330455641</v>
      </c>
      <c r="O215" s="561">
        <f>SUM(O206:O214)</f>
        <v>266086667</v>
      </c>
      <c r="P215" s="542">
        <f>I228+C228</f>
        <v>330455641</v>
      </c>
      <c r="Q215" s="544"/>
      <c r="R215" s="544"/>
      <c r="S215" s="544"/>
      <c r="T215" s="544"/>
      <c r="U215" s="544"/>
    </row>
    <row r="216" spans="1:21" s="517" customFormat="1" ht="15" hidden="1" customHeight="1">
      <c r="A216" s="3"/>
      <c r="B216" s="562"/>
      <c r="C216" s="503"/>
      <c r="D216" s="503"/>
      <c r="E216" s="507">
        <f>F215+G215+H215</f>
        <v>131</v>
      </c>
      <c r="F216" s="1033"/>
      <c r="G216" s="508"/>
      <c r="H216" s="507"/>
      <c r="I216" s="563"/>
      <c r="J216" s="564"/>
      <c r="K216" s="564"/>
      <c r="L216" s="564"/>
      <c r="M216" s="1" t="s">
        <v>404</v>
      </c>
      <c r="N216" s="565">
        <f>J184-N215</f>
        <v>75717476</v>
      </c>
      <c r="O216" s="566">
        <f>M184-O215</f>
        <v>56309067</v>
      </c>
      <c r="P216" s="568" t="e">
        <f>P215+#REF!</f>
        <v>#REF!</v>
      </c>
    </row>
    <row r="217" spans="1:21" s="517" customFormat="1" ht="15" hidden="1" customHeight="1">
      <c r="A217" s="3"/>
      <c r="B217" s="562"/>
      <c r="C217" s="503"/>
      <c r="D217" s="503"/>
      <c r="E217" s="507"/>
      <c r="F217" s="1033"/>
      <c r="G217" s="508"/>
      <c r="H217" s="507"/>
      <c r="I217" s="563"/>
      <c r="J217" s="564"/>
      <c r="K217" s="564"/>
      <c r="L217" s="564"/>
      <c r="M217" s="506"/>
      <c r="N217" s="567" t="s">
        <v>405</v>
      </c>
      <c r="O217" s="567" t="s">
        <v>406</v>
      </c>
      <c r="P217" s="568"/>
    </row>
    <row r="218" spans="1:21" s="517" customFormat="1" ht="15" hidden="1" customHeight="1">
      <c r="A218" s="3"/>
      <c r="B218" s="504" t="s">
        <v>407</v>
      </c>
      <c r="C218" s="571" t="s">
        <v>408</v>
      </c>
      <c r="D218" s="572"/>
      <c r="E218" s="573" t="s">
        <v>409</v>
      </c>
      <c r="F218" s="1037" t="s">
        <v>410</v>
      </c>
      <c r="G218" s="459" t="s">
        <v>411</v>
      </c>
      <c r="H218" s="575" t="s">
        <v>412</v>
      </c>
      <c r="I218" s="576" t="s">
        <v>413</v>
      </c>
      <c r="J218" s="577"/>
      <c r="K218" s="577"/>
      <c r="L218" s="577"/>
      <c r="M218" s="506"/>
      <c r="N218" s="578"/>
      <c r="O218" s="578"/>
      <c r="P218" s="10"/>
    </row>
    <row r="219" spans="1:21" s="517" customFormat="1" ht="15" hidden="1" customHeight="1">
      <c r="A219" s="3"/>
      <c r="B219" s="580" t="s">
        <v>41</v>
      </c>
      <c r="C219" s="581">
        <f>SUMIFS($J$39:$J$200,$C$39:$C$200,"MTI",$H$39:$H$200,"0,00%")</f>
        <v>174263785</v>
      </c>
      <c r="D219" s="581"/>
      <c r="E219" s="582">
        <f>SUMIFS($J$39:$J$172,$C$39:$C$172,"MTI",$H$39:$H$172,"100,00%")</f>
        <v>0</v>
      </c>
      <c r="F219" s="1038">
        <f t="shared" ref="F219:F227" si="25">C219+E219</f>
        <v>174263785</v>
      </c>
      <c r="G219" s="584">
        <f t="shared" ref="G219:G227" si="26">N206</f>
        <v>299920227</v>
      </c>
      <c r="H219" s="585">
        <f t="shared" ref="H219:H227" si="27">G219-F219-I219</f>
        <v>0</v>
      </c>
      <c r="I219" s="576">
        <f t="shared" ref="I219:I227" si="28">G219-F219</f>
        <v>125656442</v>
      </c>
      <c r="J219" s="577"/>
      <c r="K219" s="577"/>
      <c r="L219" s="577"/>
      <c r="M219" s="586" t="s">
        <v>41</v>
      </c>
      <c r="N219" s="587">
        <f t="shared" ref="N219:N224" si="29">N206/$N$215</f>
        <v>0.9075960273893463</v>
      </c>
      <c r="O219" s="587">
        <f t="shared" ref="O219:O227" si="30">O206/$O$215</f>
        <v>0.90496870329846324</v>
      </c>
      <c r="P219" s="10"/>
      <c r="Q219" s="589"/>
    </row>
    <row r="220" spans="1:21" s="517" customFormat="1" ht="15" hidden="1" customHeight="1">
      <c r="A220" s="3"/>
      <c r="B220" s="539" t="s">
        <v>60</v>
      </c>
      <c r="C220" s="581">
        <f>SUMIFS($J$39:$J$172,$C$39:$C$172,"MS",$H$39:$H$172,"0,00%")</f>
        <v>15356297</v>
      </c>
      <c r="D220" s="581"/>
      <c r="E220" s="582">
        <f>SUMIFS($J$39:$J$172,$C$39:$C$172,"MS",$H$39:$H$172,"100,00%")</f>
        <v>0</v>
      </c>
      <c r="F220" s="1038">
        <f t="shared" si="25"/>
        <v>15356297</v>
      </c>
      <c r="G220" s="584">
        <f t="shared" si="26"/>
        <v>15668068</v>
      </c>
      <c r="H220" s="585">
        <f t="shared" si="27"/>
        <v>0</v>
      </c>
      <c r="I220" s="576">
        <f t="shared" si="28"/>
        <v>311771</v>
      </c>
      <c r="J220" s="590"/>
      <c r="K220" s="590"/>
      <c r="L220" s="590"/>
      <c r="M220" s="591" t="s">
        <v>60</v>
      </c>
      <c r="N220" s="587">
        <f t="shared" si="29"/>
        <v>4.7413528643622097E-2</v>
      </c>
      <c r="O220" s="587">
        <f t="shared" si="30"/>
        <v>5.5816332954405419E-2</v>
      </c>
      <c r="P220" s="10"/>
      <c r="Q220" s="588"/>
    </row>
    <row r="221" spans="1:21" s="517" customFormat="1" ht="15" hidden="1" customHeight="1">
      <c r="A221" s="3"/>
      <c r="B221" s="539" t="s">
        <v>287</v>
      </c>
      <c r="C221" s="581">
        <f>SUMIFS($J$39:$J$172,$C$39:$C$172,"MJ",$H$39:$H$172,"0,00%")</f>
        <v>0</v>
      </c>
      <c r="D221" s="581"/>
      <c r="E221" s="582">
        <f>SUMIFS($J$39:$J$172,$C$39:$C$172,"MJ",$H$39:$H$172,"100,00%")</f>
        <v>0</v>
      </c>
      <c r="F221" s="1038">
        <f t="shared" si="25"/>
        <v>0</v>
      </c>
      <c r="G221" s="584">
        <f t="shared" si="26"/>
        <v>1175463</v>
      </c>
      <c r="H221" s="585">
        <f t="shared" si="27"/>
        <v>0</v>
      </c>
      <c r="I221" s="576">
        <f t="shared" si="28"/>
        <v>1175463</v>
      </c>
      <c r="J221" s="590"/>
      <c r="K221" s="590"/>
      <c r="L221" s="590"/>
      <c r="M221" s="591" t="s">
        <v>287</v>
      </c>
      <c r="N221" s="587">
        <f t="shared" si="29"/>
        <v>3.5570976983261724E-3</v>
      </c>
      <c r="O221" s="587">
        <f t="shared" si="30"/>
        <v>4.2754115147002085E-3</v>
      </c>
      <c r="P221" s="10"/>
      <c r="Q221" s="589"/>
    </row>
    <row r="222" spans="1:21" s="517" customFormat="1" ht="15" hidden="1" customHeight="1">
      <c r="A222" s="3"/>
      <c r="B222" s="548" t="s">
        <v>107</v>
      </c>
      <c r="C222" s="581">
        <f>SUMIFS($J$39:$J$172,$C$39:$C$172,"MDLPA",$H$39:$H$172,"0,00%")</f>
        <v>5195956</v>
      </c>
      <c r="D222" s="581"/>
      <c r="E222" s="582">
        <f>SUMIFS($J$39:$J$172,$C$39:$C$172,"MDLPA",$H$39:$H$172,"100,00%")</f>
        <v>0</v>
      </c>
      <c r="F222" s="1038">
        <f t="shared" si="25"/>
        <v>5195956</v>
      </c>
      <c r="G222" s="584">
        <f t="shared" si="26"/>
        <v>8372305</v>
      </c>
      <c r="H222" s="585">
        <f t="shared" si="27"/>
        <v>0</v>
      </c>
      <c r="I222" s="576">
        <f t="shared" si="28"/>
        <v>3176349</v>
      </c>
      <c r="J222" s="590"/>
      <c r="K222" s="590"/>
      <c r="L222" s="590"/>
      <c r="M222" s="591" t="s">
        <v>107</v>
      </c>
      <c r="N222" s="587">
        <f t="shared" si="29"/>
        <v>2.5335639526879797E-2</v>
      </c>
      <c r="O222" s="587">
        <f t="shared" si="30"/>
        <v>2.6991374956791804E-2</v>
      </c>
      <c r="P222" s="10"/>
      <c r="Q222" s="589"/>
    </row>
    <row r="223" spans="1:21" s="517" customFormat="1" ht="15" hidden="1" customHeight="1">
      <c r="A223" s="3"/>
      <c r="B223" s="550" t="s">
        <v>21</v>
      </c>
      <c r="C223" s="581">
        <f>SUMIFS($J$39:$J$172,$C$39:$C$172,"MMAP",$H$39:$H$172,"0,00%")</f>
        <v>298337</v>
      </c>
      <c r="D223" s="581"/>
      <c r="E223" s="582">
        <f>SUMIFS($J$39:$J$172,$C$39:$C$172,"MMAP",$H$39:$H$172,"100,00%")</f>
        <v>0</v>
      </c>
      <c r="F223" s="1038">
        <f t="shared" si="25"/>
        <v>298337</v>
      </c>
      <c r="G223" s="584">
        <f t="shared" si="26"/>
        <v>3071629</v>
      </c>
      <c r="H223" s="585">
        <f t="shared" si="27"/>
        <v>0</v>
      </c>
      <c r="I223" s="576">
        <f t="shared" si="28"/>
        <v>2773292</v>
      </c>
      <c r="J223" s="590"/>
      <c r="K223" s="590"/>
      <c r="L223" s="590"/>
      <c r="M223" s="596" t="s">
        <v>21</v>
      </c>
      <c r="N223" s="587">
        <f t="shared" si="29"/>
        <v>9.295132595421484E-3</v>
      </c>
      <c r="O223" s="587">
        <f t="shared" si="30"/>
        <v>6.1780397286873455E-3</v>
      </c>
      <c r="P223" s="10"/>
      <c r="Q223" s="589"/>
    </row>
    <row r="224" spans="1:21" s="517" customFormat="1" ht="15" hidden="1" customHeight="1">
      <c r="A224" s="3"/>
      <c r="B224" s="539" t="s">
        <v>401</v>
      </c>
      <c r="C224" s="581">
        <f>SUMIFS($J$39:$J$172,$C$39:$C$172,"ME",$H$39:$H$172,"0,00%")</f>
        <v>0</v>
      </c>
      <c r="D224" s="581"/>
      <c r="E224" s="582">
        <f>SUMIFS($J$47:$J$172,$C$47:$C$172,"ME",$H$47:$H$172,"100,00%")</f>
        <v>0</v>
      </c>
      <c r="F224" s="1038">
        <f t="shared" si="25"/>
        <v>0</v>
      </c>
      <c r="G224" s="584">
        <f t="shared" si="26"/>
        <v>0</v>
      </c>
      <c r="H224" s="585">
        <f t="shared" si="27"/>
        <v>0</v>
      </c>
      <c r="I224" s="576">
        <f t="shared" si="28"/>
        <v>0</v>
      </c>
      <c r="J224" s="590"/>
      <c r="K224" s="590"/>
      <c r="L224" s="590"/>
      <c r="M224" s="591" t="s">
        <v>401</v>
      </c>
      <c r="N224" s="587">
        <f t="shared" si="29"/>
        <v>0</v>
      </c>
      <c r="O224" s="587">
        <f t="shared" si="30"/>
        <v>0</v>
      </c>
      <c r="P224" s="10"/>
      <c r="Q224" s="589"/>
    </row>
    <row r="225" spans="1:20" s="517" customFormat="1" ht="15" hidden="1" customHeight="1">
      <c r="A225" s="3"/>
      <c r="B225" s="539" t="s">
        <v>57</v>
      </c>
      <c r="C225" s="581">
        <f>SUMIFS($J$39:$J$172,$C$39:$C$172,"MCID",$H$39:$H$172,"0,00%")</f>
        <v>0</v>
      </c>
      <c r="D225" s="581"/>
      <c r="E225" s="582">
        <f>SUMIFS($J$39:$J$172,$C$39:$C$172,"MCID",$H$39:$H$172,"100,00%")</f>
        <v>0</v>
      </c>
      <c r="F225" s="1038">
        <f t="shared" si="25"/>
        <v>0</v>
      </c>
      <c r="G225" s="584">
        <f t="shared" si="26"/>
        <v>1739734</v>
      </c>
      <c r="H225" s="585">
        <f t="shared" si="27"/>
        <v>0</v>
      </c>
      <c r="I225" s="576">
        <f t="shared" si="28"/>
        <v>1739734</v>
      </c>
      <c r="J225" s="590"/>
      <c r="K225" s="590"/>
      <c r="L225" s="590"/>
      <c r="M225" s="591" t="s">
        <v>38</v>
      </c>
      <c r="N225" s="587">
        <f>N213/$N$215</f>
        <v>0</v>
      </c>
      <c r="O225" s="587">
        <f t="shared" si="30"/>
        <v>2.1079598099516951E-4</v>
      </c>
      <c r="P225" s="10"/>
      <c r="Q225" s="589"/>
    </row>
    <row r="226" spans="1:20" s="517" customFormat="1" ht="15" hidden="1" customHeight="1">
      <c r="A226" s="3"/>
      <c r="B226" s="597" t="s">
        <v>38</v>
      </c>
      <c r="C226" s="581">
        <f>SUMIFS($J$39:$J$172,$C$39:$C$172,"SPP",$H$39:$H$172,"0,00%")</f>
        <v>0</v>
      </c>
      <c r="D226" s="598"/>
      <c r="E226" s="582">
        <f>SUMIFS($J$39:$J$172,$C$39:$C$172,"SPP",$H$39:$H$172,"100,00%")</f>
        <v>0</v>
      </c>
      <c r="F226" s="1038">
        <f t="shared" si="25"/>
        <v>0</v>
      </c>
      <c r="G226" s="584">
        <f t="shared" si="26"/>
        <v>0</v>
      </c>
      <c r="H226" s="585">
        <f t="shared" si="27"/>
        <v>0</v>
      </c>
      <c r="I226" s="576">
        <f t="shared" si="28"/>
        <v>0</v>
      </c>
      <c r="J226" s="590"/>
      <c r="K226" s="590"/>
      <c r="L226" s="590"/>
      <c r="M226" s="591" t="s">
        <v>57</v>
      </c>
      <c r="N226" s="587">
        <f>N212/$N$215</f>
        <v>5.2646521473664297E-3</v>
      </c>
      <c r="O226" s="587">
        <f t="shared" si="30"/>
        <v>0</v>
      </c>
      <c r="P226" s="10"/>
      <c r="Q226" s="589"/>
    </row>
    <row r="227" spans="1:20" s="517" customFormat="1" ht="15" hidden="1" customHeight="1">
      <c r="A227" s="3"/>
      <c r="B227" s="599" t="s">
        <v>223</v>
      </c>
      <c r="C227" s="600">
        <f>SUMIFS($J$39:$J$172,$C$39:$C$172,"MApN",$H$39:$H$172,"0,00%")</f>
        <v>508215</v>
      </c>
      <c r="D227" s="600"/>
      <c r="E227" s="601">
        <f>SUMIFS($J$39:$J$172,$C$39:$C$172,"MApN",$H$39:$H$172,"100,00%")</f>
        <v>0</v>
      </c>
      <c r="F227" s="1038">
        <f t="shared" si="25"/>
        <v>508215</v>
      </c>
      <c r="G227" s="584">
        <f t="shared" si="26"/>
        <v>508215</v>
      </c>
      <c r="H227" s="585">
        <f t="shared" si="27"/>
        <v>0</v>
      </c>
      <c r="I227" s="576">
        <f t="shared" si="28"/>
        <v>0</v>
      </c>
      <c r="J227" s="590"/>
      <c r="K227" s="590"/>
      <c r="L227" s="590"/>
      <c r="M227" s="602" t="s">
        <v>223</v>
      </c>
      <c r="N227" s="587">
        <f>N214/$N$215</f>
        <v>1.5379219990376862E-3</v>
      </c>
      <c r="O227" s="587">
        <f t="shared" si="30"/>
        <v>1.559341565956779E-3</v>
      </c>
      <c r="P227" s="10"/>
      <c r="Q227" s="589"/>
      <c r="R227" s="603"/>
      <c r="S227" s="603"/>
      <c r="T227" s="603"/>
    </row>
    <row r="228" spans="1:20" s="517" customFormat="1" ht="15" hidden="1" customHeight="1">
      <c r="A228" s="3"/>
      <c r="B228" s="604"/>
      <c r="C228" s="600">
        <f>SUM(C219:C227)</f>
        <v>195622590</v>
      </c>
      <c r="D228" s="605"/>
      <c r="E228" s="606">
        <f>SUM(E219:E227)</f>
        <v>0</v>
      </c>
      <c r="F228" s="1039">
        <f>SUM(F219:F227)</f>
        <v>195622590</v>
      </c>
      <c r="G228" s="608">
        <f>SUM(G219:G227)</f>
        <v>330455641</v>
      </c>
      <c r="H228" s="507"/>
      <c r="I228" s="609">
        <f>SUM(I219:I227)</f>
        <v>134833051</v>
      </c>
      <c r="J228" s="590"/>
      <c r="K228" s="590"/>
      <c r="L228" s="590"/>
      <c r="M228" s="1"/>
      <c r="N228" s="610">
        <f>SUM(N219:N227)</f>
        <v>0.99999999999999989</v>
      </c>
      <c r="O228" s="610">
        <f>SUM(O219:O227)</f>
        <v>1</v>
      </c>
      <c r="P228" s="10"/>
      <c r="Q228" s="589"/>
      <c r="R228" s="603"/>
      <c r="S228" s="603"/>
      <c r="T228" s="603"/>
    </row>
    <row r="229" spans="1:20" s="517" customFormat="1" ht="15" hidden="1" customHeight="1">
      <c r="A229" s="3"/>
      <c r="B229" s="562"/>
      <c r="C229" s="611"/>
      <c r="D229" s="503"/>
      <c r="E229" s="507">
        <f>I228</f>
        <v>134833051</v>
      </c>
      <c r="F229" s="1040">
        <f>F228-E228-C228</f>
        <v>0</v>
      </c>
      <c r="G229" s="508"/>
      <c r="H229" s="507"/>
      <c r="I229" s="563"/>
      <c r="J229" s="590"/>
      <c r="K229" s="590"/>
      <c r="L229" s="590"/>
      <c r="M229" s="1"/>
      <c r="N229" s="610" t="s">
        <v>429</v>
      </c>
      <c r="O229" s="610" t="s">
        <v>429</v>
      </c>
      <c r="P229" s="10"/>
      <c r="Q229" s="589"/>
      <c r="R229" s="603"/>
      <c r="S229" s="603"/>
      <c r="T229" s="603"/>
    </row>
    <row r="230" spans="1:20" s="517" customFormat="1" ht="15" hidden="1" customHeight="1">
      <c r="A230" s="3"/>
      <c r="B230" s="562"/>
      <c r="C230" s="3"/>
      <c r="D230" s="3"/>
      <c r="E230" s="563"/>
      <c r="F230" s="1041"/>
      <c r="G230" s="5"/>
      <c r="H230" s="563"/>
      <c r="I230" s="507"/>
      <c r="J230" s="590"/>
      <c r="K230" s="590"/>
      <c r="L230" s="590"/>
      <c r="N230" s="612"/>
      <c r="P230" s="10"/>
      <c r="Q230" s="589"/>
      <c r="R230" s="613"/>
    </row>
    <row r="231" spans="1:20" s="517" customFormat="1" ht="15" hidden="1" customHeight="1">
      <c r="A231" s="3"/>
      <c r="B231" s="614" t="s">
        <v>431</v>
      </c>
      <c r="C231" s="615">
        <v>0</v>
      </c>
      <c r="D231" s="615"/>
      <c r="E231" s="615">
        <v>100</v>
      </c>
      <c r="F231" s="1042" t="s">
        <v>432</v>
      </c>
      <c r="G231" s="5" t="s">
        <v>411</v>
      </c>
      <c r="H231" s="563" t="s">
        <v>433</v>
      </c>
      <c r="I231" s="617" t="s">
        <v>413</v>
      </c>
      <c r="J231" s="1"/>
      <c r="K231" s="1"/>
      <c r="L231" s="1"/>
      <c r="M231" s="506"/>
      <c r="N231" s="506"/>
      <c r="O231" s="503"/>
      <c r="P231" s="10"/>
      <c r="Q231" s="589"/>
    </row>
    <row r="232" spans="1:20" s="517" customFormat="1" ht="15" hidden="1" customHeight="1">
      <c r="A232" s="3"/>
      <c r="B232" s="619" t="s">
        <v>435</v>
      </c>
      <c r="C232" s="581">
        <f>SUMIFS($M$47:$M$200,$C$47:$C$200,"MTI",$H$47:$H$200,"0,00%")</f>
        <v>161841331</v>
      </c>
      <c r="D232" s="581"/>
      <c r="E232" s="620">
        <f>SUMIFS($M$47:$M$172,$C$47:$C$172,"MTIC",$H$47:$H$172,"100,00%")</f>
        <v>0</v>
      </c>
      <c r="F232" s="1043">
        <f t="shared" ref="F232:F240" si="31">C232+E232</f>
        <v>161841331</v>
      </c>
      <c r="G232" s="608">
        <f t="shared" ref="G232:G240" si="32">O206</f>
        <v>240800106</v>
      </c>
      <c r="H232" s="585">
        <f t="shared" ref="H232:H240" si="33">G232-F232-I232</f>
        <v>0</v>
      </c>
      <c r="I232" s="576">
        <f t="shared" ref="I232:I240" si="34">G232-F232</f>
        <v>78958775</v>
      </c>
      <c r="J232" s="1"/>
      <c r="K232" s="1"/>
      <c r="L232" s="1"/>
      <c r="M232" s="506"/>
      <c r="N232" s="506"/>
      <c r="O232" s="503"/>
      <c r="P232" s="10"/>
      <c r="Q232" s="589"/>
    </row>
    <row r="233" spans="1:20" s="517" customFormat="1" ht="15" hidden="1" customHeight="1">
      <c r="A233" s="3"/>
      <c r="B233" s="619" t="s">
        <v>60</v>
      </c>
      <c r="C233" s="581">
        <f>SUMIFS($M$47:$M$200,$C$47:$C$200,"MS",$H$47:$H$200,"0,00%")</f>
        <v>11956542</v>
      </c>
      <c r="D233" s="581"/>
      <c r="E233" s="620">
        <f>SUMIFS($M$47:$M$172,$C$47:$C$172,"MS",$H$47:$H$172,"100,00%")</f>
        <v>0</v>
      </c>
      <c r="F233" s="1043">
        <f t="shared" si="31"/>
        <v>11956542</v>
      </c>
      <c r="G233" s="608">
        <f t="shared" si="32"/>
        <v>14851982</v>
      </c>
      <c r="H233" s="585">
        <f t="shared" si="33"/>
        <v>0</v>
      </c>
      <c r="I233" s="576">
        <f t="shared" si="34"/>
        <v>2895440</v>
      </c>
      <c r="J233" s="1"/>
      <c r="K233" s="1"/>
      <c r="L233" s="1"/>
      <c r="M233" s="1"/>
      <c r="N233" s="506"/>
      <c r="O233" s="503"/>
      <c r="P233" s="10"/>
      <c r="Q233" s="589"/>
    </row>
    <row r="234" spans="1:20" s="517" customFormat="1" ht="15" hidden="1" customHeight="1">
      <c r="A234" s="622"/>
      <c r="B234" s="619" t="s">
        <v>287</v>
      </c>
      <c r="C234" s="581">
        <f>SUMIFS($M$47:$M$200,$C$47:$C$200,"MJ",$H$47:$H$200,"0,00%")</f>
        <v>0</v>
      </c>
      <c r="D234" s="581"/>
      <c r="E234" s="620">
        <f>SUMIFS($M$47:$M$172,$C$47:$C$172,"MJ",$H$47:$H$172,"100,00%")</f>
        <v>0</v>
      </c>
      <c r="F234" s="1043">
        <f t="shared" si="31"/>
        <v>0</v>
      </c>
      <c r="G234" s="608">
        <f t="shared" si="32"/>
        <v>1137630</v>
      </c>
      <c r="H234" s="585">
        <f t="shared" si="33"/>
        <v>0</v>
      </c>
      <c r="I234" s="576">
        <f t="shared" si="34"/>
        <v>1137630</v>
      </c>
      <c r="J234" s="1"/>
      <c r="K234" s="1"/>
      <c r="L234" s="1"/>
      <c r="M234" s="506"/>
      <c r="N234" s="506"/>
      <c r="O234" s="503"/>
      <c r="P234" s="10"/>
      <c r="Q234" s="589"/>
    </row>
    <row r="235" spans="1:20" s="517" customFormat="1" ht="15" hidden="1" customHeight="1">
      <c r="A235" s="1"/>
      <c r="B235" s="619" t="s">
        <v>107</v>
      </c>
      <c r="C235" s="581">
        <f>SUMIFS($M$47:$M$200,$C$47:$C$200,"MDLPA",$H$47:$H$200,"0,00%")</f>
        <v>5191126</v>
      </c>
      <c r="D235" s="581"/>
      <c r="E235" s="620">
        <f>SUMIFS($M$47:$M$172,$C$47:$C$172,"MLPDA",$H$47:$H$172,"100,00%")</f>
        <v>0</v>
      </c>
      <c r="F235" s="1043">
        <f t="shared" si="31"/>
        <v>5191126</v>
      </c>
      <c r="G235" s="608">
        <f t="shared" si="32"/>
        <v>7182045</v>
      </c>
      <c r="H235" s="585">
        <f t="shared" si="33"/>
        <v>0</v>
      </c>
      <c r="I235" s="576">
        <f t="shared" si="34"/>
        <v>1990919</v>
      </c>
      <c r="J235" s="1"/>
      <c r="K235" s="1"/>
      <c r="L235" s="1"/>
      <c r="M235" s="1"/>
      <c r="N235" s="1"/>
      <c r="O235" s="3"/>
      <c r="P235" s="10"/>
      <c r="Q235" s="589"/>
    </row>
    <row r="236" spans="1:20" s="517" customFormat="1" ht="15" hidden="1" customHeight="1">
      <c r="A236" s="1"/>
      <c r="B236" s="624" t="s">
        <v>21</v>
      </c>
      <c r="C236" s="581">
        <f>SUMIFS($M$47:$M$200,$C$47:$C$200,"MMAP",$H$47:$H$200,"0,00%")</f>
        <v>294916</v>
      </c>
      <c r="D236" s="581"/>
      <c r="E236" s="620">
        <f>SUMIFS($M$47:$M$172,$C$47:$C$172,"MMAP",$H$47:$H$172,"100,00%")</f>
        <v>0</v>
      </c>
      <c r="F236" s="1043">
        <f t="shared" si="31"/>
        <v>294916</v>
      </c>
      <c r="G236" s="608">
        <f t="shared" si="32"/>
        <v>1643894</v>
      </c>
      <c r="H236" s="585">
        <f t="shared" si="33"/>
        <v>0</v>
      </c>
      <c r="I236" s="576">
        <f t="shared" si="34"/>
        <v>1348978</v>
      </c>
      <c r="J236" s="506"/>
      <c r="K236" s="506"/>
      <c r="L236" s="506"/>
      <c r="M236" s="506"/>
      <c r="N236" s="506"/>
      <c r="O236" s="503"/>
      <c r="P236" s="10"/>
      <c r="Q236" s="589"/>
    </row>
    <row r="237" spans="1:20" s="517" customFormat="1" ht="15" hidden="1" customHeight="1">
      <c r="A237" s="1"/>
      <c r="B237" s="619" t="s">
        <v>401</v>
      </c>
      <c r="C237" s="581">
        <f>SUMIFS($M$47:$M$200,$C$47:$C$200,"ME",$H$47:$H$200,"0,00%")</f>
        <v>0</v>
      </c>
      <c r="D237" s="581"/>
      <c r="E237" s="620">
        <f>SUMIFS($M$47:$M$172,$C$47:$C$172,"MEEMA",$H$47:$H$172,"100,00%")</f>
        <v>0</v>
      </c>
      <c r="F237" s="1043">
        <f t="shared" si="31"/>
        <v>0</v>
      </c>
      <c r="G237" s="608">
        <f t="shared" si="32"/>
        <v>0</v>
      </c>
      <c r="H237" s="585">
        <f t="shared" si="33"/>
        <v>0</v>
      </c>
      <c r="I237" s="576">
        <f t="shared" si="34"/>
        <v>0</v>
      </c>
      <c r="J237" s="1"/>
      <c r="K237" s="1"/>
      <c r="L237" s="1"/>
      <c r="M237" s="506"/>
      <c r="N237" s="506"/>
      <c r="O237" s="503"/>
      <c r="P237" s="10"/>
      <c r="Q237" s="589"/>
    </row>
    <row r="238" spans="1:20" s="517" customFormat="1" ht="15" hidden="1" customHeight="1">
      <c r="A238" s="1"/>
      <c r="B238" s="619" t="s">
        <v>57</v>
      </c>
      <c r="C238" s="581">
        <f>SUMIFS($M$47:$M$200,$C$47:$C$200,"MCID",$H$47:$H$200,"0,00%")</f>
        <v>0</v>
      </c>
      <c r="D238" s="581"/>
      <c r="E238" s="620">
        <f>SUMIFS($M$47:$M$172,$C$47:$C$172,"MEC",$H$47:$H$172,"100,00%")</f>
        <v>0</v>
      </c>
      <c r="F238" s="1043">
        <f t="shared" si="31"/>
        <v>0</v>
      </c>
      <c r="G238" s="608">
        <f t="shared" si="32"/>
        <v>56090</v>
      </c>
      <c r="H238" s="585">
        <f t="shared" si="33"/>
        <v>0</v>
      </c>
      <c r="I238" s="576">
        <f t="shared" si="34"/>
        <v>56090</v>
      </c>
      <c r="J238" s="1"/>
      <c r="K238" s="1"/>
      <c r="L238" s="1"/>
      <c r="M238" s="506"/>
      <c r="N238" s="506"/>
      <c r="O238" s="503"/>
      <c r="P238" s="10"/>
      <c r="Q238" s="589"/>
    </row>
    <row r="239" spans="1:20" s="517" customFormat="1" ht="15" hidden="1" customHeight="1">
      <c r="A239" s="1"/>
      <c r="B239" s="619" t="s">
        <v>38</v>
      </c>
      <c r="C239" s="581">
        <f>SUMIFS($M$47:$M$200,$C$47:$C$200,"SPP",$H$47:$H$200,"0,00%")</f>
        <v>0</v>
      </c>
      <c r="D239" s="581"/>
      <c r="E239" s="620">
        <f>SUMIFS($M$47:$M$172,$C$47:$C$172,"MEC",$H$47:$H$172,"100,00%")</f>
        <v>0</v>
      </c>
      <c r="F239" s="1043">
        <f t="shared" si="31"/>
        <v>0</v>
      </c>
      <c r="G239" s="608">
        <f t="shared" si="32"/>
        <v>0</v>
      </c>
      <c r="H239" s="585">
        <f t="shared" si="33"/>
        <v>0</v>
      </c>
      <c r="I239" s="576">
        <f t="shared" si="34"/>
        <v>0</v>
      </c>
      <c r="J239" s="1"/>
      <c r="K239" s="1"/>
      <c r="L239" s="1"/>
      <c r="M239" s="506"/>
      <c r="N239" s="506"/>
      <c r="O239" s="503"/>
      <c r="P239" s="10"/>
      <c r="Q239" s="589"/>
    </row>
    <row r="240" spans="1:20" s="517" customFormat="1" ht="15" hidden="1" customHeight="1">
      <c r="A240" s="1"/>
      <c r="B240" s="619" t="s">
        <v>223</v>
      </c>
      <c r="C240" s="581">
        <f>SUMIFS($M$47:$M$200,$C$47:$C$200,"MTI",$H$47:$H$200,"0,00%")</f>
        <v>161841331</v>
      </c>
      <c r="D240" s="581"/>
      <c r="E240" s="620">
        <f>SUMIFS($M$47:$M$172,$C$47:$C$172,"MApN",$H$47:$H$172,"100,00%")</f>
        <v>0</v>
      </c>
      <c r="F240" s="1043">
        <f t="shared" si="31"/>
        <v>161841331</v>
      </c>
      <c r="G240" s="608">
        <f t="shared" si="32"/>
        <v>414920</v>
      </c>
      <c r="H240" s="585">
        <f t="shared" si="33"/>
        <v>0</v>
      </c>
      <c r="I240" s="576">
        <f t="shared" si="34"/>
        <v>-161426411</v>
      </c>
      <c r="J240" s="506"/>
      <c r="K240" s="506"/>
      <c r="L240" s="506"/>
      <c r="M240" s="506"/>
      <c r="N240" s="506"/>
      <c r="O240" s="503"/>
      <c r="P240" s="10"/>
      <c r="Q240" s="589"/>
    </row>
    <row r="241" spans="1:17" s="517" customFormat="1" ht="15" hidden="1" customHeight="1">
      <c r="A241" s="1"/>
      <c r="B241" s="626">
        <f>C241+E241</f>
        <v>341125246</v>
      </c>
      <c r="C241" s="581">
        <f>SUM(C232:C240)</f>
        <v>341125246</v>
      </c>
      <c r="D241" s="627"/>
      <c r="E241" s="607">
        <f>SUM(E232:E240)</f>
        <v>0</v>
      </c>
      <c r="F241" s="1039">
        <f>SUM(F232:F240)</f>
        <v>341125246</v>
      </c>
      <c r="G241" s="608">
        <f>SUM(G232:G240)</f>
        <v>266086667</v>
      </c>
      <c r="H241" s="507"/>
      <c r="I241" s="628">
        <f>SUM(I232:I240)</f>
        <v>-75038579</v>
      </c>
      <c r="J241" s="506"/>
      <c r="K241" s="506"/>
      <c r="L241" s="506"/>
      <c r="M241" s="506"/>
      <c r="N241" s="506"/>
      <c r="O241" s="503"/>
      <c r="P241" s="10"/>
      <c r="Q241" s="589"/>
    </row>
    <row r="242" spans="1:17" s="517" customFormat="1" ht="15" hidden="1" customHeight="1">
      <c r="A242" s="506"/>
      <c r="B242" s="562"/>
      <c r="C242" s="611" t="s">
        <v>438</v>
      </c>
      <c r="D242" s="503"/>
      <c r="E242" s="564">
        <f>I241</f>
        <v>-75038579</v>
      </c>
      <c r="F242" s="1044"/>
      <c r="G242" s="5"/>
      <c r="H242" s="563"/>
      <c r="I242" s="563">
        <f>I241+E241</f>
        <v>-75038579</v>
      </c>
      <c r="J242" s="506"/>
      <c r="K242" s="506"/>
      <c r="L242" s="506"/>
      <c r="M242" s="506"/>
      <c r="N242" s="506"/>
      <c r="O242" s="503"/>
      <c r="P242" s="10"/>
      <c r="Q242" s="589"/>
    </row>
    <row r="243" spans="1:17" s="517" customFormat="1" ht="15" hidden="1" customHeight="1">
      <c r="A243" s="1"/>
      <c r="B243" s="562"/>
      <c r="C243" s="3"/>
      <c r="D243" s="3"/>
      <c r="E243" s="1"/>
      <c r="F243" s="1045"/>
      <c r="G243" s="5"/>
      <c r="H243" s="563"/>
      <c r="I243" s="563"/>
      <c r="J243" s="506"/>
      <c r="K243" s="506"/>
      <c r="L243" s="506"/>
      <c r="M243" s="506"/>
      <c r="N243" s="506"/>
      <c r="O243" s="503"/>
      <c r="P243" s="10"/>
      <c r="Q243" s="589"/>
    </row>
    <row r="244" spans="1:17" s="517" customFormat="1" ht="15" hidden="1" customHeight="1">
      <c r="A244" s="1"/>
      <c r="B244" s="562"/>
      <c r="C244" s="3"/>
      <c r="D244" s="3"/>
      <c r="E244" s="1"/>
      <c r="F244" s="1045"/>
      <c r="G244" s="5"/>
      <c r="H244" s="563"/>
      <c r="I244" s="563"/>
      <c r="J244" s="1"/>
      <c r="K244" s="1"/>
      <c r="L244" s="1"/>
      <c r="M244" s="1"/>
      <c r="N244" s="1"/>
      <c r="O244" s="3"/>
      <c r="P244" s="10"/>
      <c r="Q244" s="589"/>
    </row>
    <row r="245" spans="1:17" s="517" customFormat="1" ht="15" hidden="1" customHeight="1">
      <c r="A245" s="1"/>
      <c r="B245" s="562"/>
      <c r="C245" s="629" t="s">
        <v>440</v>
      </c>
      <c r="D245" s="629"/>
      <c r="E245" s="615"/>
      <c r="F245" s="1044"/>
      <c r="G245" s="5"/>
      <c r="H245" s="563"/>
      <c r="I245" s="563"/>
      <c r="J245" s="1"/>
      <c r="K245" s="1"/>
      <c r="L245" s="1"/>
      <c r="M245" s="1"/>
      <c r="N245" s="1"/>
      <c r="O245" s="3"/>
      <c r="P245" s="10"/>
      <c r="Q245" s="589"/>
    </row>
    <row r="246" spans="1:17" s="517" customFormat="1" ht="15" hidden="1" customHeight="1">
      <c r="A246" s="1"/>
      <c r="B246" s="562"/>
      <c r="C246" s="630">
        <f>C241/F241</f>
        <v>1</v>
      </c>
      <c r="D246" s="631"/>
      <c r="E246" s="632">
        <f>E241/F241</f>
        <v>0</v>
      </c>
      <c r="F246" s="1046">
        <f>C246+E246</f>
        <v>1</v>
      </c>
      <c r="G246" s="5"/>
      <c r="H246" s="563"/>
      <c r="I246" s="563"/>
      <c r="J246" s="1"/>
      <c r="K246" s="1"/>
      <c r="L246" s="1"/>
      <c r="M246" s="1"/>
      <c r="N246" s="1"/>
      <c r="O246" s="3"/>
      <c r="P246" s="10"/>
      <c r="Q246" s="589"/>
    </row>
    <row r="247" spans="1:17" s="517" customFormat="1" ht="15" hidden="1" customHeight="1">
      <c r="A247" s="1"/>
      <c r="B247" s="562"/>
      <c r="C247" s="3"/>
      <c r="D247" s="3"/>
      <c r="E247" s="1"/>
      <c r="F247" s="1045"/>
      <c r="G247" s="5"/>
      <c r="H247" s="563"/>
      <c r="I247" s="563"/>
      <c r="J247" s="1"/>
      <c r="K247" s="1"/>
      <c r="L247" s="1"/>
      <c r="M247" s="1"/>
      <c r="N247" s="1"/>
      <c r="O247" s="3"/>
      <c r="P247" s="634"/>
      <c r="Q247" s="589"/>
    </row>
    <row r="248" spans="1:17" s="517" customFormat="1" ht="15" hidden="1" customHeight="1">
      <c r="A248" s="1"/>
      <c r="B248" s="562"/>
      <c r="C248" s="3"/>
      <c r="D248" s="3"/>
      <c r="E248" s="1"/>
      <c r="F248" s="1045"/>
      <c r="G248" s="5"/>
      <c r="H248" s="563"/>
      <c r="I248" s="563"/>
      <c r="J248" s="1"/>
      <c r="K248" s="1"/>
      <c r="L248" s="1"/>
      <c r="M248" s="1"/>
      <c r="N248" s="1"/>
      <c r="O248" s="3"/>
      <c r="P248" s="634"/>
      <c r="Q248" s="589"/>
    </row>
    <row r="249" spans="1:17" s="517" customFormat="1" ht="15" hidden="1" customHeight="1">
      <c r="A249" s="1"/>
      <c r="B249" s="562"/>
      <c r="C249" s="3"/>
      <c r="D249" s="3"/>
      <c r="E249" s="1"/>
      <c r="F249" s="1045"/>
      <c r="G249" s="5"/>
      <c r="H249" s="563"/>
      <c r="I249" s="563"/>
      <c r="J249" s="1"/>
      <c r="K249" s="1"/>
      <c r="L249" s="1"/>
      <c r="M249" s="1"/>
      <c r="N249" s="1"/>
      <c r="O249" s="635"/>
      <c r="P249" s="634"/>
      <c r="Q249" s="589"/>
    </row>
    <row r="250" spans="1:17" s="517" customFormat="1" ht="15" hidden="1" customHeight="1">
      <c r="A250" s="1"/>
      <c r="B250" s="562"/>
      <c r="C250" s="3"/>
      <c r="D250" s="3"/>
      <c r="E250" s="564">
        <f>E252-E251</f>
        <v>299920227</v>
      </c>
      <c r="F250" s="1047">
        <f>F252-F251</f>
        <v>240800106</v>
      </c>
      <c r="G250" s="5"/>
      <c r="H250" s="563"/>
      <c r="I250" s="563"/>
      <c r="J250" s="1"/>
      <c r="K250" s="1"/>
      <c r="L250" s="1"/>
      <c r="M250" s="1"/>
      <c r="N250" s="1"/>
      <c r="O250" s="635"/>
      <c r="P250" s="634"/>
      <c r="Q250" s="589"/>
    </row>
    <row r="251" spans="1:17" ht="15" hidden="1" customHeight="1">
      <c r="B251" s="562"/>
      <c r="E251" s="563"/>
      <c r="F251" s="1048"/>
      <c r="H251" s="563"/>
      <c r="I251" s="563"/>
      <c r="J251" s="1"/>
      <c r="K251" s="1"/>
      <c r="L251" s="1"/>
      <c r="M251" s="1"/>
      <c r="O251" s="635"/>
      <c r="P251" s="634"/>
      <c r="Q251" s="618"/>
    </row>
    <row r="252" spans="1:17" ht="15" hidden="1" customHeight="1">
      <c r="B252" s="562"/>
      <c r="E252" s="637">
        <f>N206</f>
        <v>299920227</v>
      </c>
      <c r="F252" s="1049">
        <f>O206</f>
        <v>240800106</v>
      </c>
      <c r="H252" s="563"/>
      <c r="I252" s="563"/>
      <c r="J252" s="1"/>
      <c r="K252" s="1"/>
      <c r="L252" s="1"/>
      <c r="M252" s="1"/>
      <c r="O252" s="635"/>
      <c r="P252" s="634"/>
      <c r="Q252" s="595"/>
    </row>
    <row r="253" spans="1:17" ht="15" hidden="1" customHeight="1">
      <c r="B253" s="562"/>
      <c r="F253" s="1045"/>
      <c r="H253" s="563"/>
      <c r="I253" s="563"/>
      <c r="J253" s="1"/>
      <c r="K253" s="1"/>
      <c r="L253" s="1"/>
      <c r="M253" s="1"/>
      <c r="O253" s="635"/>
      <c r="P253" s="634"/>
      <c r="Q253" s="517"/>
    </row>
    <row r="254" spans="1:17" ht="15" hidden="1" customHeight="1">
      <c r="B254" s="562"/>
      <c r="F254" s="1045"/>
      <c r="H254" s="563"/>
      <c r="I254" s="563"/>
      <c r="J254" s="1"/>
      <c r="K254" s="1"/>
      <c r="L254" s="1"/>
      <c r="M254" s="1"/>
      <c r="O254" s="635"/>
      <c r="P254" s="634"/>
    </row>
    <row r="255" spans="1:17" ht="15" hidden="1" customHeight="1">
      <c r="B255" s="562"/>
      <c r="F255" s="1045"/>
      <c r="H255" s="563"/>
      <c r="I255" s="563"/>
      <c r="J255" s="1"/>
      <c r="K255" s="1"/>
      <c r="L255" s="1"/>
      <c r="M255" s="1"/>
      <c r="O255" s="635"/>
      <c r="P255" s="634"/>
    </row>
    <row r="256" spans="1:17" ht="15" hidden="1" customHeight="1">
      <c r="B256" s="562"/>
      <c r="F256" s="1045"/>
      <c r="H256" s="563"/>
      <c r="I256" s="563"/>
      <c r="J256" s="1"/>
      <c r="K256" s="1"/>
      <c r="L256" s="1"/>
      <c r="M256" s="1"/>
      <c r="O256" s="635"/>
      <c r="P256" s="634"/>
      <c r="Q256" s="517"/>
    </row>
    <row r="257" spans="2:16" ht="15" hidden="1" customHeight="1">
      <c r="B257" s="562"/>
      <c r="F257" s="1045"/>
      <c r="H257" s="563"/>
      <c r="I257" s="563"/>
      <c r="J257" s="1"/>
      <c r="K257" s="1"/>
      <c r="L257" s="1"/>
      <c r="M257" s="1"/>
      <c r="O257" s="635"/>
      <c r="P257" s="634"/>
    </row>
    <row r="258" spans="2:16" ht="15" hidden="1" customHeight="1">
      <c r="B258" s="562"/>
      <c r="F258" s="1045"/>
      <c r="H258" s="563"/>
      <c r="I258" s="563"/>
      <c r="J258" s="1"/>
      <c r="K258" s="1"/>
      <c r="L258" s="1"/>
      <c r="M258" s="1"/>
      <c r="O258" s="635"/>
      <c r="P258" s="634"/>
    </row>
    <row r="259" spans="2:16" ht="15" hidden="1" customHeight="1">
      <c r="B259" s="562"/>
      <c r="F259" s="1045"/>
      <c r="H259" s="563"/>
      <c r="I259" s="563"/>
      <c r="J259" s="1"/>
      <c r="K259" s="1"/>
      <c r="L259" s="1"/>
      <c r="M259" s="1"/>
      <c r="O259" s="635"/>
      <c r="P259" s="634"/>
    </row>
    <row r="260" spans="2:16" ht="15.75" hidden="1" customHeight="1">
      <c r="B260" s="562"/>
      <c r="F260" s="1045"/>
      <c r="H260" s="563"/>
      <c r="I260" s="563"/>
      <c r="J260" s="1"/>
      <c r="K260" s="1"/>
      <c r="L260" s="1"/>
      <c r="M260" s="1"/>
      <c r="O260" s="635"/>
      <c r="P260" s="634"/>
    </row>
    <row r="261" spans="2:16" ht="15.75" hidden="1" customHeight="1">
      <c r="B261" s="562"/>
      <c r="F261" s="1045"/>
      <c r="H261" s="563"/>
      <c r="I261" s="563"/>
      <c r="J261" s="1"/>
      <c r="K261" s="1"/>
      <c r="L261" s="1"/>
      <c r="M261" s="1"/>
      <c r="O261" s="635"/>
      <c r="P261" s="634"/>
    </row>
    <row r="262" spans="2:16" ht="15.75" hidden="1" customHeight="1">
      <c r="B262" s="562"/>
      <c r="F262" s="1045"/>
      <c r="H262" s="563"/>
      <c r="I262" s="563"/>
      <c r="J262" s="1"/>
      <c r="K262" s="1"/>
      <c r="L262" s="1"/>
      <c r="M262" s="1"/>
      <c r="O262" s="635"/>
      <c r="P262" s="634"/>
    </row>
    <row r="263" spans="2:16" ht="15.75" hidden="1" customHeight="1">
      <c r="B263" s="562"/>
      <c r="F263" s="1045"/>
      <c r="H263" s="563"/>
      <c r="I263" s="563"/>
      <c r="J263" s="1"/>
      <c r="K263" s="1"/>
      <c r="L263" s="1"/>
      <c r="M263" s="1"/>
      <c r="O263" s="635"/>
      <c r="P263" s="634"/>
    </row>
    <row r="264" spans="2:16" ht="15.75" hidden="1" customHeight="1">
      <c r="B264" s="562"/>
      <c r="F264" s="1045"/>
      <c r="H264" s="563"/>
      <c r="I264" s="563"/>
      <c r="J264" s="1"/>
      <c r="K264" s="1"/>
      <c r="L264" s="1"/>
      <c r="M264" s="1"/>
      <c r="O264" s="635"/>
      <c r="P264" s="634"/>
    </row>
    <row r="265" spans="2:16" ht="15.75" hidden="1" customHeight="1">
      <c r="B265" s="562"/>
      <c r="F265" s="1045"/>
      <c r="H265" s="563"/>
      <c r="I265" s="563"/>
      <c r="J265" s="1"/>
      <c r="K265" s="1"/>
      <c r="L265" s="1"/>
      <c r="M265" s="1"/>
      <c r="O265" s="635"/>
      <c r="P265" s="634"/>
    </row>
    <row r="266" spans="2:16" ht="15.75" hidden="1" customHeight="1">
      <c r="B266" s="562"/>
      <c r="F266" s="1045"/>
      <c r="H266" s="563"/>
      <c r="I266" s="563"/>
      <c r="J266" s="1"/>
      <c r="K266" s="1"/>
      <c r="L266" s="1"/>
      <c r="M266" s="1"/>
      <c r="O266" s="635"/>
      <c r="P266" s="634"/>
    </row>
    <row r="267" spans="2:16" ht="15.75" hidden="1" customHeight="1">
      <c r="B267" s="562"/>
      <c r="F267" s="1045"/>
      <c r="H267" s="563"/>
      <c r="I267" s="563"/>
      <c r="J267" s="1"/>
      <c r="K267" s="1"/>
      <c r="L267" s="1"/>
      <c r="M267" s="1"/>
      <c r="O267" s="635"/>
      <c r="P267" s="634"/>
    </row>
    <row r="268" spans="2:16" ht="15.75" hidden="1" customHeight="1">
      <c r="B268" s="562"/>
      <c r="F268" s="1045"/>
      <c r="H268" s="563"/>
      <c r="I268" s="563"/>
      <c r="J268" s="1"/>
      <c r="K268" s="1"/>
      <c r="L268" s="1"/>
      <c r="M268" s="1"/>
      <c r="O268" s="635"/>
      <c r="P268" s="634"/>
    </row>
    <row r="269" spans="2:16" ht="15.75" hidden="1" customHeight="1">
      <c r="B269" s="562"/>
      <c r="F269" s="1045"/>
      <c r="H269" s="563"/>
      <c r="I269" s="563"/>
      <c r="J269" s="1"/>
      <c r="K269" s="1"/>
      <c r="L269" s="1"/>
      <c r="M269" s="1"/>
      <c r="O269" s="635"/>
      <c r="P269" s="634"/>
    </row>
    <row r="270" spans="2:16" ht="15.75" hidden="1" customHeight="1">
      <c r="B270" s="562"/>
      <c r="F270" s="1045"/>
      <c r="H270" s="563"/>
      <c r="I270" s="563"/>
      <c r="J270" s="1"/>
      <c r="K270" s="1"/>
      <c r="L270" s="1"/>
      <c r="M270" s="1"/>
      <c r="O270" s="635"/>
      <c r="P270" s="634"/>
    </row>
    <row r="271" spans="2:16" ht="15.75" hidden="1" customHeight="1">
      <c r="B271" s="562"/>
      <c r="F271" s="1045"/>
      <c r="H271" s="563"/>
      <c r="I271" s="563"/>
      <c r="J271" s="1"/>
      <c r="K271" s="1"/>
      <c r="L271" s="1"/>
      <c r="M271" s="1"/>
      <c r="O271" s="635"/>
      <c r="P271" s="634"/>
    </row>
    <row r="272" spans="2:16" ht="15.75" hidden="1" customHeight="1">
      <c r="B272" s="562"/>
      <c r="F272" s="1045"/>
      <c r="H272" s="563"/>
      <c r="I272" s="563"/>
      <c r="J272" s="1"/>
      <c r="K272" s="1"/>
      <c r="L272" s="1"/>
      <c r="M272" s="1"/>
      <c r="O272" s="635"/>
      <c r="P272" s="634"/>
    </row>
    <row r="273" spans="2:16" ht="15.75" hidden="1" customHeight="1">
      <c r="B273" s="562"/>
      <c r="F273" s="1045"/>
      <c r="H273" s="563"/>
      <c r="I273" s="563"/>
      <c r="J273" s="1"/>
      <c r="K273" s="1"/>
      <c r="L273" s="1"/>
      <c r="M273" s="1"/>
      <c r="O273" s="635"/>
      <c r="P273" s="634"/>
    </row>
    <row r="274" spans="2:16" ht="15.75" hidden="1" customHeight="1">
      <c r="B274" s="562"/>
      <c r="F274" s="1045"/>
      <c r="H274" s="563"/>
      <c r="I274" s="563"/>
      <c r="J274" s="1"/>
      <c r="K274" s="1"/>
      <c r="L274" s="1"/>
      <c r="M274" s="1"/>
      <c r="O274" s="635"/>
      <c r="P274" s="634"/>
    </row>
    <row r="275" spans="2:16" ht="15.75" hidden="1" customHeight="1">
      <c r="B275" s="562"/>
      <c r="F275" s="1045"/>
      <c r="H275" s="563"/>
      <c r="I275" s="563"/>
      <c r="J275" s="1"/>
      <c r="K275" s="1"/>
      <c r="L275" s="1"/>
      <c r="M275" s="1"/>
      <c r="O275" s="635"/>
      <c r="P275" s="634"/>
    </row>
    <row r="276" spans="2:16" ht="15.75" hidden="1" customHeight="1">
      <c r="B276" s="562"/>
      <c r="F276" s="1045"/>
      <c r="H276" s="563"/>
      <c r="I276" s="563"/>
      <c r="J276" s="1"/>
      <c r="K276" s="1"/>
      <c r="L276" s="1"/>
      <c r="M276" s="1"/>
      <c r="O276" s="635"/>
      <c r="P276" s="634"/>
    </row>
    <row r="277" spans="2:16" ht="15.75" hidden="1" customHeight="1">
      <c r="B277" s="562"/>
      <c r="F277" s="1045"/>
      <c r="H277" s="563"/>
      <c r="I277" s="563"/>
      <c r="J277" s="1"/>
      <c r="K277" s="1"/>
      <c r="L277" s="1"/>
      <c r="M277" s="1"/>
      <c r="O277" s="635"/>
      <c r="P277" s="634"/>
    </row>
    <row r="278" spans="2:16" ht="15.75" hidden="1" customHeight="1">
      <c r="B278" s="562"/>
      <c r="F278" s="1045"/>
      <c r="H278" s="563"/>
      <c r="I278" s="563"/>
      <c r="J278" s="1"/>
      <c r="K278" s="1"/>
      <c r="L278" s="1"/>
      <c r="M278" s="1"/>
      <c r="O278" s="635"/>
      <c r="P278" s="634"/>
    </row>
    <row r="279" spans="2:16" ht="15.75" hidden="1" customHeight="1">
      <c r="B279" s="562"/>
      <c r="F279" s="1045"/>
      <c r="H279" s="563"/>
      <c r="I279" s="563"/>
      <c r="J279" s="1"/>
      <c r="K279" s="1"/>
      <c r="L279" s="1"/>
      <c r="M279" s="1"/>
      <c r="O279" s="635"/>
      <c r="P279" s="634"/>
    </row>
    <row r="280" spans="2:16" ht="15.75" hidden="1" customHeight="1">
      <c r="B280" s="562"/>
      <c r="F280" s="1045"/>
      <c r="H280" s="563"/>
      <c r="I280" s="563"/>
      <c r="J280" s="1"/>
      <c r="K280" s="1"/>
      <c r="L280" s="1"/>
      <c r="M280" s="1"/>
      <c r="O280" s="635"/>
      <c r="P280" s="634"/>
    </row>
    <row r="281" spans="2:16" ht="15.75" hidden="1" customHeight="1">
      <c r="B281" s="562"/>
      <c r="F281" s="1045"/>
      <c r="H281" s="563"/>
      <c r="I281" s="563"/>
      <c r="J281" s="1"/>
      <c r="K281" s="1"/>
      <c r="L281" s="1"/>
      <c r="M281" s="1"/>
      <c r="O281" s="635"/>
      <c r="P281" s="634"/>
    </row>
    <row r="282" spans="2:16" ht="15.75" hidden="1" customHeight="1">
      <c r="B282" s="562"/>
      <c r="F282" s="1045"/>
      <c r="H282" s="563"/>
      <c r="I282" s="563"/>
      <c r="J282" s="1"/>
      <c r="K282" s="1"/>
      <c r="L282" s="1"/>
      <c r="M282" s="1"/>
      <c r="O282" s="635"/>
      <c r="P282" s="634"/>
    </row>
    <row r="283" spans="2:16" ht="15.75" hidden="1" customHeight="1">
      <c r="B283" s="562"/>
      <c r="F283" s="1045"/>
      <c r="H283" s="563"/>
      <c r="I283" s="563"/>
      <c r="J283" s="1"/>
      <c r="K283" s="1"/>
      <c r="L283" s="1"/>
      <c r="M283" s="1"/>
      <c r="O283" s="635"/>
      <c r="P283" s="634"/>
    </row>
    <row r="284" spans="2:16" ht="15.75" hidden="1" customHeight="1">
      <c r="B284" s="562"/>
      <c r="F284" s="1045"/>
      <c r="H284" s="563"/>
      <c r="I284" s="563"/>
      <c r="J284" s="1"/>
      <c r="K284" s="1"/>
      <c r="L284" s="1"/>
      <c r="M284" s="1"/>
      <c r="O284" s="635"/>
      <c r="P284" s="634"/>
    </row>
    <row r="285" spans="2:16" ht="15.75" hidden="1" customHeight="1">
      <c r="B285" s="562"/>
      <c r="F285" s="1045"/>
      <c r="H285" s="563"/>
      <c r="I285" s="563"/>
      <c r="J285" s="1"/>
      <c r="K285" s="1"/>
      <c r="L285" s="1"/>
      <c r="M285" s="1"/>
      <c r="O285" s="635"/>
      <c r="P285" s="634"/>
    </row>
    <row r="286" spans="2:16" ht="15.75" hidden="1" customHeight="1">
      <c r="B286" s="562"/>
      <c r="F286" s="1045"/>
      <c r="H286" s="563"/>
      <c r="I286" s="563"/>
      <c r="J286" s="1"/>
      <c r="K286" s="1"/>
      <c r="L286" s="1"/>
      <c r="M286" s="1"/>
      <c r="O286" s="635"/>
      <c r="P286" s="634"/>
    </row>
    <row r="287" spans="2:16" ht="15.75" hidden="1" customHeight="1">
      <c r="B287" s="562"/>
      <c r="F287" s="1045"/>
      <c r="H287" s="563"/>
      <c r="I287" s="563"/>
      <c r="J287" s="1"/>
      <c r="K287" s="1"/>
      <c r="L287" s="1"/>
      <c r="M287" s="1"/>
      <c r="O287" s="635"/>
      <c r="P287" s="634"/>
    </row>
    <row r="288" spans="2:16" ht="15.75" hidden="1" customHeight="1">
      <c r="B288" s="562"/>
      <c r="F288" s="1045"/>
      <c r="H288" s="563"/>
      <c r="I288" s="563"/>
      <c r="J288" s="1"/>
      <c r="K288" s="1"/>
      <c r="L288" s="1"/>
      <c r="M288" s="1"/>
      <c r="O288" s="635"/>
      <c r="P288" s="634"/>
    </row>
    <row r="289" spans="2:16" ht="15.75" hidden="1" customHeight="1">
      <c r="B289" s="562"/>
      <c r="F289" s="1045"/>
      <c r="H289" s="563"/>
      <c r="I289" s="563"/>
      <c r="J289" s="1"/>
      <c r="K289" s="1"/>
      <c r="L289" s="1"/>
      <c r="M289" s="1"/>
      <c r="O289" s="635"/>
      <c r="P289" s="634"/>
    </row>
    <row r="290" spans="2:16" ht="15.75" hidden="1" customHeight="1">
      <c r="B290" s="562"/>
      <c r="F290" s="1045"/>
      <c r="H290" s="563"/>
      <c r="I290" s="563"/>
      <c r="J290" s="1"/>
      <c r="K290" s="1"/>
      <c r="L290" s="1"/>
      <c r="M290" s="1"/>
      <c r="O290" s="635"/>
      <c r="P290" s="634"/>
    </row>
    <row r="291" spans="2:16" ht="15.75" hidden="1" customHeight="1">
      <c r="B291" s="562"/>
      <c r="F291" s="1045"/>
      <c r="H291" s="563"/>
      <c r="I291" s="563"/>
      <c r="J291" s="1"/>
      <c r="K291" s="1"/>
      <c r="L291" s="1"/>
      <c r="M291" s="1"/>
      <c r="O291" s="635"/>
      <c r="P291" s="634"/>
    </row>
    <row r="292" spans="2:16" ht="15.75" hidden="1" customHeight="1">
      <c r="B292" s="562"/>
      <c r="F292" s="1045"/>
      <c r="H292" s="563"/>
      <c r="I292" s="563"/>
      <c r="J292" s="1"/>
      <c r="K292" s="1"/>
      <c r="L292" s="1"/>
      <c r="M292" s="1"/>
      <c r="O292" s="635"/>
      <c r="P292" s="634"/>
    </row>
    <row r="293" spans="2:16" ht="15.75" hidden="1" customHeight="1">
      <c r="B293" s="562"/>
      <c r="F293" s="1045"/>
      <c r="H293" s="563"/>
      <c r="I293" s="563"/>
      <c r="J293" s="1"/>
      <c r="K293" s="1"/>
      <c r="L293" s="1"/>
      <c r="M293" s="1"/>
      <c r="O293" s="635"/>
      <c r="P293" s="634"/>
    </row>
    <row r="294" spans="2:16" ht="15.75" hidden="1" customHeight="1">
      <c r="B294" s="562"/>
      <c r="F294" s="1045"/>
      <c r="H294" s="563"/>
      <c r="I294" s="563"/>
      <c r="J294" s="1"/>
      <c r="K294" s="1"/>
      <c r="L294" s="1"/>
      <c r="M294" s="1"/>
      <c r="O294" s="635"/>
      <c r="P294" s="634"/>
    </row>
    <row r="295" spans="2:16" ht="15.75" hidden="1" customHeight="1">
      <c r="B295" s="562"/>
      <c r="F295" s="1045"/>
      <c r="H295" s="563"/>
      <c r="I295" s="563"/>
      <c r="J295" s="1"/>
      <c r="K295" s="1"/>
      <c r="L295" s="1"/>
      <c r="M295" s="1"/>
      <c r="O295" s="635"/>
      <c r="P295" s="634"/>
    </row>
    <row r="296" spans="2:16" ht="15.75" hidden="1" customHeight="1">
      <c r="B296" s="562"/>
      <c r="F296" s="1045"/>
      <c r="H296" s="563"/>
      <c r="I296" s="563"/>
      <c r="J296" s="1"/>
      <c r="K296" s="1"/>
      <c r="L296" s="1"/>
      <c r="M296" s="1"/>
      <c r="O296" s="635"/>
      <c r="P296" s="634"/>
    </row>
    <row r="297" spans="2:16" ht="15.75" hidden="1" customHeight="1">
      <c r="B297" s="562"/>
      <c r="F297" s="1045"/>
      <c r="H297" s="563"/>
      <c r="I297" s="563"/>
      <c r="J297" s="1"/>
      <c r="K297" s="1"/>
      <c r="L297" s="1"/>
      <c r="M297" s="1"/>
      <c r="O297" s="635"/>
      <c r="P297" s="634"/>
    </row>
    <row r="298" spans="2:16" ht="15.75" hidden="1" customHeight="1">
      <c r="B298" s="562"/>
      <c r="F298" s="1045"/>
      <c r="H298" s="563"/>
      <c r="I298" s="563"/>
      <c r="J298" s="1"/>
      <c r="K298" s="1"/>
      <c r="L298" s="1"/>
      <c r="M298" s="1"/>
      <c r="O298" s="635"/>
      <c r="P298" s="634"/>
    </row>
    <row r="299" spans="2:16" ht="15.75" hidden="1" customHeight="1">
      <c r="B299" s="562"/>
      <c r="F299" s="1045"/>
      <c r="H299" s="563"/>
      <c r="I299" s="563"/>
      <c r="J299" s="1"/>
      <c r="K299" s="1"/>
      <c r="L299" s="1"/>
      <c r="M299" s="1"/>
      <c r="O299" s="635"/>
      <c r="P299" s="634"/>
    </row>
    <row r="300" spans="2:16" ht="15.75" hidden="1" customHeight="1">
      <c r="B300" s="562"/>
      <c r="F300" s="1045"/>
      <c r="H300" s="563"/>
      <c r="I300" s="563"/>
      <c r="J300" s="1"/>
      <c r="K300" s="1"/>
      <c r="L300" s="1"/>
      <c r="M300" s="1"/>
      <c r="O300" s="635"/>
      <c r="P300" s="634"/>
    </row>
    <row r="301" spans="2:16" ht="15.75" hidden="1" customHeight="1">
      <c r="B301" s="562"/>
      <c r="F301" s="1045"/>
      <c r="H301" s="563"/>
      <c r="I301" s="563"/>
      <c r="J301" s="1"/>
      <c r="K301" s="1"/>
      <c r="L301" s="1"/>
      <c r="M301" s="1"/>
      <c r="O301" s="635"/>
      <c r="P301" s="634"/>
    </row>
    <row r="302" spans="2:16" ht="15.75" hidden="1" customHeight="1">
      <c r="B302" s="562"/>
      <c r="F302" s="1045"/>
      <c r="H302" s="563"/>
      <c r="I302" s="563"/>
      <c r="J302" s="1"/>
      <c r="K302" s="1"/>
      <c r="L302" s="1"/>
      <c r="M302" s="1"/>
      <c r="O302" s="635"/>
      <c r="P302" s="634"/>
    </row>
    <row r="303" spans="2:16" ht="15.75" hidden="1" customHeight="1">
      <c r="B303" s="562"/>
      <c r="F303" s="1045"/>
      <c r="H303" s="563"/>
      <c r="I303" s="563"/>
      <c r="J303" s="1"/>
      <c r="K303" s="1"/>
      <c r="L303" s="1"/>
      <c r="M303" s="1"/>
      <c r="O303" s="635"/>
      <c r="P303" s="634"/>
    </row>
    <row r="304" spans="2:16" ht="15.75" hidden="1" customHeight="1">
      <c r="B304" s="562"/>
      <c r="F304" s="1045"/>
      <c r="H304" s="563"/>
      <c r="I304" s="563"/>
      <c r="J304" s="1"/>
      <c r="K304" s="1"/>
      <c r="L304" s="1"/>
      <c r="M304" s="1"/>
      <c r="O304" s="635"/>
      <c r="P304" s="634"/>
    </row>
    <row r="305" spans="1:16" ht="15.75" hidden="1" customHeight="1">
      <c r="B305" s="562"/>
      <c r="F305" s="1045"/>
      <c r="H305" s="563"/>
      <c r="I305" s="563"/>
      <c r="J305" s="1"/>
      <c r="K305" s="1"/>
      <c r="L305" s="1"/>
      <c r="M305" s="1"/>
      <c r="O305" s="635"/>
      <c r="P305" s="634"/>
    </row>
    <row r="306" spans="1:16" ht="15.75" hidden="1" customHeight="1">
      <c r="B306" s="562"/>
      <c r="F306" s="1045"/>
      <c r="H306" s="563"/>
      <c r="I306" s="563"/>
      <c r="J306" s="1"/>
      <c r="K306" s="1"/>
      <c r="L306" s="1"/>
      <c r="M306" s="1"/>
      <c r="O306" s="635"/>
      <c r="P306" s="634"/>
    </row>
    <row r="307" spans="1:16" ht="15.75" hidden="1" customHeight="1">
      <c r="B307" s="562"/>
      <c r="F307" s="1045"/>
      <c r="H307" s="563"/>
      <c r="I307" s="563"/>
      <c r="J307" s="1"/>
      <c r="K307" s="1"/>
      <c r="L307" s="1"/>
      <c r="M307" s="1"/>
      <c r="O307" s="635"/>
      <c r="P307" s="634"/>
    </row>
    <row r="308" spans="1:16" ht="15.75" hidden="1" customHeight="1">
      <c r="B308" s="562"/>
      <c r="F308" s="1045"/>
      <c r="H308" s="563"/>
      <c r="I308" s="563"/>
      <c r="J308" s="1"/>
      <c r="K308" s="1"/>
      <c r="L308" s="1"/>
      <c r="M308" s="1"/>
      <c r="O308" s="635"/>
      <c r="P308" s="634"/>
    </row>
    <row r="309" spans="1:16" ht="15.75" hidden="1" customHeight="1">
      <c r="B309" s="562"/>
      <c r="F309" s="1045"/>
      <c r="H309" s="563"/>
      <c r="I309" s="563"/>
      <c r="J309" s="1"/>
      <c r="K309" s="1"/>
      <c r="L309" s="1"/>
      <c r="M309" s="1"/>
      <c r="O309" s="635"/>
      <c r="P309" s="634"/>
    </row>
    <row r="310" spans="1:16" ht="15.75" hidden="1" customHeight="1">
      <c r="B310" s="562"/>
      <c r="F310" s="1045"/>
      <c r="H310" s="563"/>
      <c r="I310" s="563"/>
      <c r="J310" s="1"/>
      <c r="K310" s="1"/>
      <c r="L310" s="1"/>
      <c r="M310" s="1"/>
      <c r="O310" s="635"/>
      <c r="P310" s="634"/>
    </row>
    <row r="311" spans="1:16" ht="15.75" hidden="1" customHeight="1">
      <c r="B311" s="562"/>
      <c r="F311" s="1045"/>
      <c r="H311" s="563"/>
      <c r="I311" s="563"/>
      <c r="J311" s="1"/>
      <c r="K311" s="1"/>
      <c r="L311" s="1"/>
      <c r="M311" s="1"/>
      <c r="O311" s="635"/>
      <c r="P311" s="634"/>
    </row>
    <row r="312" spans="1:16" ht="15.75" hidden="1" customHeight="1">
      <c r="B312" s="562"/>
      <c r="F312" s="1045"/>
      <c r="H312" s="563"/>
      <c r="I312" s="563"/>
      <c r="J312" s="1"/>
      <c r="K312" s="1"/>
      <c r="L312" s="1"/>
      <c r="M312" s="1"/>
      <c r="O312" s="635"/>
      <c r="P312" s="634"/>
    </row>
    <row r="313" spans="1:16" ht="15.75" hidden="1" customHeight="1">
      <c r="B313" s="562"/>
      <c r="F313" s="1045"/>
      <c r="H313" s="563"/>
      <c r="I313" s="563"/>
      <c r="J313" s="1"/>
      <c r="K313" s="1"/>
      <c r="L313" s="1"/>
      <c r="M313" s="1"/>
      <c r="O313" s="635"/>
      <c r="P313" s="634"/>
    </row>
    <row r="314" spans="1:16" ht="15.75" hidden="1" customHeight="1">
      <c r="B314" s="562"/>
      <c r="F314" s="1045"/>
      <c r="H314" s="563"/>
      <c r="I314" s="563"/>
      <c r="J314" s="1"/>
      <c r="K314" s="1"/>
      <c r="L314" s="1"/>
      <c r="M314" s="1"/>
      <c r="O314" s="635"/>
      <c r="P314" s="634"/>
    </row>
    <row r="315" spans="1:16" ht="15.75" hidden="1" customHeight="1">
      <c r="B315" s="562"/>
      <c r="F315" s="1045"/>
      <c r="H315" s="563"/>
      <c r="I315" s="563"/>
      <c r="J315" s="1"/>
      <c r="K315" s="1"/>
      <c r="L315" s="1"/>
      <c r="M315" s="1"/>
      <c r="O315" s="635"/>
      <c r="P315" s="634"/>
    </row>
    <row r="316" spans="1:16" ht="210.75" hidden="1" customHeight="1">
      <c r="B316" s="562"/>
      <c r="F316" s="1045"/>
      <c r="H316" s="563"/>
      <c r="I316" s="563"/>
      <c r="J316" s="1"/>
      <c r="K316" s="1"/>
      <c r="L316" s="1"/>
      <c r="M316" s="1"/>
      <c r="O316" s="635"/>
      <c r="P316" s="634"/>
    </row>
    <row r="317" spans="1:16" ht="210.75" hidden="1" customHeight="1">
      <c r="B317" s="562"/>
      <c r="F317" s="1045"/>
      <c r="H317" s="563"/>
      <c r="I317" s="563"/>
      <c r="J317" s="1"/>
      <c r="K317" s="1"/>
      <c r="L317" s="1"/>
      <c r="M317" s="1"/>
      <c r="O317" s="635"/>
    </row>
    <row r="318" spans="1:16" ht="34.5" customHeight="1">
      <c r="A318" s="638">
        <v>3</v>
      </c>
      <c r="F318" s="1050"/>
      <c r="H318" s="563"/>
      <c r="I318" s="563"/>
      <c r="J318" s="1045"/>
      <c r="K318" s="1045"/>
      <c r="L318" s="1045"/>
      <c r="M318" s="1"/>
      <c r="O318" s="635"/>
    </row>
    <row r="319" spans="1:16" ht="47.25" customHeight="1">
      <c r="A319" s="638">
        <v>3</v>
      </c>
      <c r="F319" s="1050"/>
      <c r="H319" s="563"/>
      <c r="I319" s="563"/>
      <c r="J319" s="1045"/>
      <c r="K319" s="1045"/>
      <c r="L319" s="1045"/>
      <c r="M319" s="1"/>
      <c r="O319" s="635"/>
    </row>
    <row r="320" spans="1:16" ht="42.75" customHeight="1">
      <c r="A320" s="638">
        <v>3</v>
      </c>
      <c r="F320" s="1050"/>
      <c r="H320" s="563"/>
      <c r="I320" s="563"/>
      <c r="J320" s="1045"/>
      <c r="K320" s="1045"/>
      <c r="L320" s="1045"/>
      <c r="M320" s="1"/>
      <c r="O320" s="635"/>
    </row>
    <row r="321" spans="1:23" s="10" customFormat="1" ht="67.5" customHeight="1">
      <c r="A321" s="638">
        <v>3</v>
      </c>
      <c r="B321" s="1073"/>
      <c r="C321" s="3"/>
      <c r="D321" s="3"/>
      <c r="E321" s="1"/>
      <c r="F321" s="1050"/>
      <c r="G321" s="5"/>
      <c r="H321" s="563"/>
      <c r="I321" s="563"/>
      <c r="J321" s="1045"/>
      <c r="K321" s="1045"/>
      <c r="L321" s="1045"/>
      <c r="M321" s="1"/>
      <c r="N321" s="1"/>
      <c r="O321" s="635"/>
      <c r="Q321" s="11"/>
      <c r="R321" s="11"/>
      <c r="S321" s="11"/>
      <c r="T321" s="11"/>
      <c r="U321" s="11"/>
      <c r="V321" s="634"/>
      <c r="W321" s="634"/>
    </row>
    <row r="322" spans="1:23" s="10" customFormat="1" ht="60" customHeight="1">
      <c r="A322" s="1"/>
      <c r="B322" s="1073"/>
      <c r="C322" s="3"/>
      <c r="D322" s="3"/>
      <c r="E322" s="1"/>
      <c r="F322" s="1020"/>
      <c r="G322" s="5"/>
      <c r="H322" s="6"/>
      <c r="I322" s="6"/>
      <c r="J322" s="1045"/>
      <c r="K322" s="1045"/>
      <c r="L322" s="1045"/>
      <c r="M322" s="1"/>
      <c r="N322" s="1"/>
      <c r="O322" s="635"/>
      <c r="Q322" s="11"/>
      <c r="R322" s="11"/>
      <c r="S322" s="11"/>
      <c r="T322" s="11"/>
      <c r="U322" s="11"/>
      <c r="V322" s="634"/>
      <c r="W322" s="634"/>
    </row>
    <row r="323" spans="1:23" s="10" customFormat="1" ht="30" customHeight="1">
      <c r="A323" s="1"/>
      <c r="B323" s="1073"/>
      <c r="C323" s="3"/>
      <c r="D323" s="3"/>
      <c r="E323" s="1"/>
      <c r="F323" s="1020"/>
      <c r="G323" s="5"/>
      <c r="H323" s="6"/>
      <c r="I323" s="6"/>
      <c r="J323" s="1045"/>
      <c r="K323" s="1045"/>
      <c r="L323" s="1045"/>
      <c r="M323" s="1"/>
      <c r="N323" s="1"/>
      <c r="O323" s="635"/>
      <c r="Q323" s="11"/>
      <c r="R323" s="11"/>
      <c r="S323" s="11"/>
      <c r="T323" s="11"/>
      <c r="U323" s="11"/>
      <c r="V323" s="634"/>
      <c r="W323" s="634"/>
    </row>
    <row r="324" spans="1:23" s="10" customFormat="1" ht="78" customHeight="1">
      <c r="A324" s="1"/>
      <c r="B324" s="1073"/>
      <c r="C324" s="3"/>
      <c r="D324" s="3"/>
      <c r="E324" s="1"/>
      <c r="F324" s="1020"/>
      <c r="G324" s="5"/>
      <c r="H324" s="6"/>
      <c r="I324" s="6"/>
      <c r="J324" s="1045"/>
      <c r="K324" s="1045"/>
      <c r="L324" s="1045"/>
      <c r="M324" s="8"/>
      <c r="N324" s="1"/>
      <c r="O324" s="9"/>
      <c r="Q324" s="11"/>
      <c r="R324" s="11"/>
      <c r="S324" s="11"/>
      <c r="T324" s="11"/>
      <c r="U324" s="11"/>
      <c r="V324" s="634"/>
      <c r="W324" s="634"/>
    </row>
    <row r="325" spans="1:23" s="10" customFormat="1" ht="115.5" customHeight="1">
      <c r="A325" s="1"/>
      <c r="B325" s="1073"/>
      <c r="C325" s="3"/>
      <c r="D325" s="3"/>
      <c r="E325" s="1"/>
      <c r="F325" s="1020"/>
      <c r="G325" s="5"/>
      <c r="H325" s="6"/>
      <c r="I325" s="6"/>
      <c r="J325" s="1100"/>
      <c r="K325" s="1100"/>
      <c r="L325" s="1100"/>
      <c r="M325" s="8"/>
      <c r="N325" s="1"/>
      <c r="O325" s="9"/>
      <c r="Q325" s="11"/>
      <c r="R325" s="11"/>
      <c r="S325" s="11"/>
      <c r="T325" s="11"/>
      <c r="U325" s="11"/>
      <c r="V325" s="634"/>
      <c r="W325" s="634"/>
    </row>
    <row r="457" spans="2:21" s="1" customFormat="1">
      <c r="B457" s="1073"/>
      <c r="C457" s="3"/>
      <c r="D457" s="3"/>
      <c r="F457" s="1020"/>
      <c r="G457" s="5"/>
      <c r="H457" s="6"/>
      <c r="I457" s="6"/>
      <c r="J457" s="1100"/>
      <c r="K457" s="1100"/>
      <c r="L457" s="1100"/>
      <c r="M457" s="8">
        <f>SUM(M39:M172)</f>
        <v>267651903</v>
      </c>
      <c r="O457" s="9"/>
      <c r="P457" s="10"/>
      <c r="Q457" s="11"/>
      <c r="R457" s="11"/>
      <c r="S457" s="11"/>
      <c r="T457" s="11"/>
      <c r="U457" s="11"/>
    </row>
    <row r="458" spans="2:21" s="1" customFormat="1">
      <c r="B458" s="1073"/>
      <c r="C458" s="3"/>
      <c r="D458" s="3"/>
      <c r="F458" s="1020"/>
      <c r="G458" s="5"/>
      <c r="H458" s="6"/>
      <c r="I458" s="6"/>
      <c r="J458" s="1100">
        <f>SUM(J39:J172)</f>
        <v>332495783</v>
      </c>
      <c r="K458" s="1100"/>
      <c r="L458" s="1100"/>
      <c r="M458" s="8">
        <f>M184-M457</f>
        <v>54743831</v>
      </c>
      <c r="O458" s="9"/>
      <c r="P458" s="10"/>
      <c r="Q458" s="11"/>
      <c r="R458" s="11"/>
      <c r="S458" s="11"/>
      <c r="T458" s="11"/>
      <c r="U458" s="11"/>
    </row>
    <row r="459" spans="2:21" s="1" customFormat="1">
      <c r="B459" s="1073"/>
      <c r="C459" s="3"/>
      <c r="D459" s="3"/>
      <c r="F459" s="1020"/>
      <c r="G459" s="5"/>
      <c r="H459" s="6"/>
      <c r="I459" s="6"/>
      <c r="J459" s="1100">
        <f>J184-J458</f>
        <v>73677334</v>
      </c>
      <c r="K459" s="1100"/>
      <c r="L459" s="1100"/>
      <c r="M459" s="8"/>
      <c r="O459" s="9"/>
      <c r="P459" s="10"/>
      <c r="Q459" s="11"/>
      <c r="R459" s="11"/>
      <c r="S459" s="11"/>
      <c r="T459" s="11"/>
      <c r="U459" s="11"/>
    </row>
    <row r="464" spans="2:21" s="1" customFormat="1" ht="12.75" customHeight="1">
      <c r="B464" s="1073"/>
      <c r="C464" s="3"/>
      <c r="D464" s="3"/>
      <c r="F464" s="1020"/>
      <c r="G464" s="5"/>
      <c r="H464" s="6"/>
      <c r="I464" s="6"/>
      <c r="J464" s="1100"/>
      <c r="K464" s="1100"/>
      <c r="L464" s="1100"/>
      <c r="M464" s="8"/>
      <c r="O464" s="9"/>
      <c r="P464" s="10"/>
      <c r="Q464" s="11"/>
      <c r="R464" s="11"/>
      <c r="S464" s="11"/>
      <c r="T464" s="11"/>
      <c r="U464" s="11"/>
    </row>
  </sheetData>
  <autoFilter ref="A10:AMJ184"/>
  <mergeCells count="17">
    <mergeCell ref="L8:L9"/>
    <mergeCell ref="M8:M9"/>
    <mergeCell ref="N8:N9"/>
    <mergeCell ref="O8:P8"/>
    <mergeCell ref="A5:P5"/>
    <mergeCell ref="A6:P6"/>
    <mergeCell ref="A8:A9"/>
    <mergeCell ref="B8:B9"/>
    <mergeCell ref="C8:C9"/>
    <mergeCell ref="D8:D9"/>
    <mergeCell ref="E8:E9"/>
    <mergeCell ref="F8:F9"/>
    <mergeCell ref="G8:G9"/>
    <mergeCell ref="H8:H9"/>
    <mergeCell ref="I8:I9"/>
    <mergeCell ref="J8:J9"/>
    <mergeCell ref="K8:K9"/>
  </mergeCells>
  <printOptions horizontalCentered="1"/>
  <pageMargins left="0.23611111111111099" right="0.23611111111111099" top="0.74791666666666701" bottom="0.74791666666666701" header="0.511811023622047" footer="0.31527777777777799"/>
  <pageSetup paperSize="8" scale="82" fitToHeight="0" orientation="landscape" useFirstPageNumber="1"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MJ326"/>
  <sheetViews>
    <sheetView zoomScale="60" zoomScaleNormal="60" workbookViewId="0">
      <pane ySplit="9" topLeftCell="A51" activePane="bottomLeft" state="frozen"/>
      <selection pane="bottomLeft" activeCell="G218" sqref="G218"/>
    </sheetView>
  </sheetViews>
  <sheetFormatPr defaultColWidth="9.140625" defaultRowHeight="15.75"/>
  <cols>
    <col min="1" max="1" width="6.5703125" style="1" customWidth="1"/>
    <col min="2" max="2" width="40.42578125" style="562" customWidth="1"/>
    <col min="3" max="3" width="15.42578125" style="3" customWidth="1"/>
    <col min="4" max="4" width="22.7109375" style="3" customWidth="1"/>
    <col min="5" max="5" width="16.42578125" style="1" customWidth="1"/>
    <col min="6" max="6" width="15.85546875" style="4" customWidth="1"/>
    <col min="7" max="7" width="20.28515625" style="749" customWidth="1"/>
    <col min="8" max="8" width="15.85546875" style="6" customWidth="1"/>
    <col min="9" max="9" width="18" style="6" customWidth="1"/>
    <col min="10" max="12" width="19" style="7" customWidth="1"/>
    <col min="13" max="13" width="18.140625" style="8" customWidth="1"/>
    <col min="14" max="14" width="34.140625" style="1" customWidth="1"/>
    <col min="15" max="15" width="20.28515625" style="9" customWidth="1"/>
    <col min="16" max="16" width="56.5703125" style="10" customWidth="1"/>
    <col min="17" max="17" width="12.85546875" style="11" customWidth="1"/>
    <col min="18" max="18" width="16" style="11" customWidth="1"/>
    <col min="19" max="19" width="14.28515625" style="11" customWidth="1"/>
    <col min="20" max="20" width="13.85546875" style="11" customWidth="1"/>
    <col min="21" max="21" width="16" style="11" customWidth="1"/>
    <col min="22" max="1024" width="9.140625" style="11"/>
  </cols>
  <sheetData>
    <row r="1" spans="1:17">
      <c r="A1" s="11"/>
      <c r="B1" s="11"/>
      <c r="P1" s="13" t="s">
        <v>604</v>
      </c>
      <c r="Q1" s="14"/>
    </row>
    <row r="2" spans="1:17">
      <c r="A2" s="15"/>
      <c r="B2" s="15"/>
    </row>
    <row r="3" spans="1:17" ht="19.5">
      <c r="A3" s="1226" t="s">
        <v>1</v>
      </c>
      <c r="B3" s="1226"/>
      <c r="C3" s="1226"/>
      <c r="D3" s="1226"/>
      <c r="E3" s="1226"/>
      <c r="F3" s="1226"/>
      <c r="G3" s="1226"/>
      <c r="H3" s="1226"/>
      <c r="I3" s="1226"/>
      <c r="J3" s="1226"/>
      <c r="K3" s="1226"/>
      <c r="L3" s="1226"/>
      <c r="M3" s="1226"/>
      <c r="N3" s="1226"/>
      <c r="O3" s="1226"/>
      <c r="P3" s="1226"/>
    </row>
    <row r="4" spans="1:17" ht="19.5">
      <c r="A4" s="1226" t="s">
        <v>2</v>
      </c>
      <c r="B4" s="1226"/>
      <c r="C4" s="1226"/>
      <c r="D4" s="1226"/>
      <c r="E4" s="1226"/>
      <c r="F4" s="1226"/>
      <c r="G4" s="1226"/>
      <c r="H4" s="1226"/>
      <c r="I4" s="1226"/>
      <c r="J4" s="1226"/>
      <c r="K4" s="1226"/>
      <c r="L4" s="1226"/>
      <c r="M4" s="1226"/>
      <c r="N4" s="1226"/>
      <c r="O4" s="1226"/>
      <c r="P4" s="1226"/>
    </row>
    <row r="5" spans="1:17">
      <c r="A5" s="15"/>
      <c r="B5" s="15"/>
    </row>
    <row r="6" spans="1:17">
      <c r="A6" s="15"/>
      <c r="B6" s="15"/>
      <c r="F6" s="17"/>
      <c r="L6" s="18"/>
      <c r="P6" s="19"/>
    </row>
    <row r="7" spans="1:17" s="20" customFormat="1" ht="44.25" customHeight="1">
      <c r="A7" s="1227" t="s">
        <v>3</v>
      </c>
      <c r="B7" s="1242" t="s">
        <v>4</v>
      </c>
      <c r="C7" s="1229" t="s">
        <v>5</v>
      </c>
      <c r="D7" s="1229" t="s">
        <v>6</v>
      </c>
      <c r="E7" s="1229" t="s">
        <v>7</v>
      </c>
      <c r="F7" s="1230" t="s">
        <v>8</v>
      </c>
      <c r="G7" s="1243" t="s">
        <v>9</v>
      </c>
      <c r="H7" s="1232" t="s">
        <v>10</v>
      </c>
      <c r="I7" s="1232" t="s">
        <v>11</v>
      </c>
      <c r="J7" s="1231" t="s">
        <v>12</v>
      </c>
      <c r="K7" s="1231" t="s">
        <v>13</v>
      </c>
      <c r="L7" s="1231" t="s">
        <v>605</v>
      </c>
      <c r="M7" s="1231" t="s">
        <v>15</v>
      </c>
      <c r="N7" s="1229" t="s">
        <v>16</v>
      </c>
      <c r="O7" s="1223" t="s">
        <v>17</v>
      </c>
      <c r="P7" s="1223"/>
    </row>
    <row r="8" spans="1:17" s="23" customFormat="1" ht="78" hidden="1" customHeight="1">
      <c r="A8" s="1227"/>
      <c r="B8" s="1242"/>
      <c r="C8" s="1229"/>
      <c r="D8" s="1229"/>
      <c r="E8" s="1229"/>
      <c r="F8" s="1230"/>
      <c r="G8" s="1243"/>
      <c r="H8" s="1232"/>
      <c r="I8" s="1232"/>
      <c r="J8" s="1231"/>
      <c r="K8" s="1231"/>
      <c r="L8" s="1231"/>
      <c r="M8" s="1231"/>
      <c r="N8" s="1229"/>
      <c r="O8" s="21" t="s">
        <v>18</v>
      </c>
      <c r="P8" s="22" t="s">
        <v>19</v>
      </c>
    </row>
    <row r="9" spans="1:17" s="12" customFormat="1" hidden="1">
      <c r="A9" s="24">
        <v>0</v>
      </c>
      <c r="B9" s="25">
        <v>1</v>
      </c>
      <c r="C9" s="26">
        <v>2</v>
      </c>
      <c r="D9" s="26">
        <v>3</v>
      </c>
      <c r="E9" s="26">
        <v>4</v>
      </c>
      <c r="F9" s="27">
        <v>5</v>
      </c>
      <c r="G9" s="27">
        <v>6</v>
      </c>
      <c r="H9" s="27">
        <v>7</v>
      </c>
      <c r="I9" s="27">
        <v>8</v>
      </c>
      <c r="J9" s="27">
        <v>9</v>
      </c>
      <c r="K9" s="27">
        <v>10</v>
      </c>
      <c r="L9" s="27">
        <v>11</v>
      </c>
      <c r="M9" s="28">
        <v>12</v>
      </c>
      <c r="N9" s="27">
        <v>13</v>
      </c>
      <c r="O9" s="29">
        <v>14</v>
      </c>
      <c r="P9" s="30">
        <v>15</v>
      </c>
    </row>
    <row r="10" spans="1:17" s="145" customFormat="1" ht="77.25" customHeight="1">
      <c r="A10" s="750">
        <v>1</v>
      </c>
      <c r="B10" s="135" t="s">
        <v>606</v>
      </c>
      <c r="C10" s="114" t="s">
        <v>41</v>
      </c>
      <c r="D10" s="137" t="s">
        <v>51</v>
      </c>
      <c r="E10" s="138" t="s">
        <v>23</v>
      </c>
      <c r="F10" s="139">
        <v>1295</v>
      </c>
      <c r="G10" s="751">
        <v>100</v>
      </c>
      <c r="H10" s="140">
        <v>1</v>
      </c>
      <c r="I10" s="321">
        <v>0.78600000000000003</v>
      </c>
      <c r="J10" s="752">
        <v>227628</v>
      </c>
      <c r="K10" s="752">
        <v>178921</v>
      </c>
      <c r="L10" s="752">
        <v>1120</v>
      </c>
      <c r="M10" s="142">
        <f t="shared" ref="M10:M41" si="0">J10-K10-L10</f>
        <v>47587</v>
      </c>
      <c r="N10" s="137" t="s">
        <v>52</v>
      </c>
      <c r="O10" s="143">
        <v>343613420</v>
      </c>
      <c r="P10" s="753" t="s">
        <v>607</v>
      </c>
    </row>
    <row r="11" spans="1:17" s="145" customFormat="1" ht="77.25" customHeight="1">
      <c r="A11" s="750">
        <f t="shared" ref="A11:A42" si="1">A10+1</f>
        <v>2</v>
      </c>
      <c r="B11" s="754" t="s">
        <v>608</v>
      </c>
      <c r="C11" s="114" t="s">
        <v>41</v>
      </c>
      <c r="D11" s="137" t="s">
        <v>54</v>
      </c>
      <c r="E11" s="755" t="s">
        <v>23</v>
      </c>
      <c r="F11" s="756">
        <v>1256</v>
      </c>
      <c r="G11" s="757">
        <v>98</v>
      </c>
      <c r="H11" s="321">
        <v>1</v>
      </c>
      <c r="I11" s="321">
        <v>0.59299999999999997</v>
      </c>
      <c r="J11" s="752">
        <v>198327</v>
      </c>
      <c r="K11" s="752">
        <v>117606</v>
      </c>
      <c r="L11" s="752">
        <v>20811</v>
      </c>
      <c r="M11" s="142">
        <f t="shared" si="0"/>
        <v>59910</v>
      </c>
      <c r="N11" s="139" t="s">
        <v>609</v>
      </c>
      <c r="O11" s="143">
        <f>164689083</f>
        <v>164689083</v>
      </c>
      <c r="P11" s="286"/>
    </row>
    <row r="12" spans="1:17" s="145" customFormat="1" ht="77.25" customHeight="1">
      <c r="A12" s="750">
        <f t="shared" si="1"/>
        <v>3</v>
      </c>
      <c r="B12" s="135" t="s">
        <v>610</v>
      </c>
      <c r="C12" s="114" t="s">
        <v>41</v>
      </c>
      <c r="D12" s="138" t="s">
        <v>54</v>
      </c>
      <c r="E12" s="138" t="s">
        <v>23</v>
      </c>
      <c r="F12" s="139">
        <v>977</v>
      </c>
      <c r="G12" s="112">
        <v>98</v>
      </c>
      <c r="H12" s="140">
        <v>1</v>
      </c>
      <c r="I12" s="141">
        <v>0.43630000000000002</v>
      </c>
      <c r="J12" s="142">
        <v>151647</v>
      </c>
      <c r="K12" s="142">
        <v>66171</v>
      </c>
      <c r="L12" s="142">
        <v>21290</v>
      </c>
      <c r="M12" s="142">
        <f t="shared" si="0"/>
        <v>64186</v>
      </c>
      <c r="N12" s="136" t="s">
        <v>611</v>
      </c>
      <c r="O12" s="143">
        <v>38320000</v>
      </c>
      <c r="P12" s="758" t="s">
        <v>612</v>
      </c>
    </row>
    <row r="13" spans="1:17" s="145" customFormat="1" ht="77.25" customHeight="1">
      <c r="A13" s="750">
        <f t="shared" si="1"/>
        <v>4</v>
      </c>
      <c r="B13" s="754" t="s">
        <v>613</v>
      </c>
      <c r="C13" s="114" t="s">
        <v>41</v>
      </c>
      <c r="D13" s="137" t="s">
        <v>54</v>
      </c>
      <c r="E13" s="755" t="s">
        <v>23</v>
      </c>
      <c r="F13" s="756">
        <v>818</v>
      </c>
      <c r="G13" s="751">
        <v>98</v>
      </c>
      <c r="H13" s="141">
        <v>1</v>
      </c>
      <c r="I13" s="141">
        <v>0.56089999999999995</v>
      </c>
      <c r="J13" s="752">
        <v>157648</v>
      </c>
      <c r="K13" s="752">
        <v>88418</v>
      </c>
      <c r="L13" s="752">
        <v>0</v>
      </c>
      <c r="M13" s="142">
        <f t="shared" si="0"/>
        <v>69230</v>
      </c>
      <c r="N13" s="759" t="s">
        <v>614</v>
      </c>
      <c r="O13" s="760">
        <v>21548000</v>
      </c>
      <c r="P13" s="758" t="s">
        <v>612</v>
      </c>
    </row>
    <row r="14" spans="1:17" s="145" customFormat="1" ht="125.25" customHeight="1">
      <c r="A14" s="750">
        <f t="shared" si="1"/>
        <v>5</v>
      </c>
      <c r="B14" s="761" t="s">
        <v>615</v>
      </c>
      <c r="C14" s="114" t="s">
        <v>41</v>
      </c>
      <c r="D14" s="136" t="s">
        <v>101</v>
      </c>
      <c r="E14" s="114" t="s">
        <v>23</v>
      </c>
      <c r="F14" s="762">
        <v>1277</v>
      </c>
      <c r="G14" s="112">
        <v>96.5</v>
      </c>
      <c r="H14" s="141">
        <v>1</v>
      </c>
      <c r="I14" s="141">
        <v>0.91259999999999997</v>
      </c>
      <c r="J14" s="752">
        <v>583802</v>
      </c>
      <c r="K14" s="752">
        <v>532790</v>
      </c>
      <c r="L14" s="752">
        <v>0</v>
      </c>
      <c r="M14" s="142">
        <f t="shared" si="0"/>
        <v>51012</v>
      </c>
      <c r="N14" s="136" t="s">
        <v>616</v>
      </c>
      <c r="O14" s="763">
        <v>38858222</v>
      </c>
      <c r="P14" s="764" t="s">
        <v>617</v>
      </c>
    </row>
    <row r="15" spans="1:17" s="145" customFormat="1" ht="77.25" customHeight="1">
      <c r="A15" s="750">
        <f t="shared" si="1"/>
        <v>6</v>
      </c>
      <c r="B15" s="135" t="s">
        <v>618</v>
      </c>
      <c r="C15" s="114" t="s">
        <v>41</v>
      </c>
      <c r="D15" s="137" t="s">
        <v>51</v>
      </c>
      <c r="E15" s="138" t="s">
        <v>23</v>
      </c>
      <c r="F15" s="139">
        <v>975</v>
      </c>
      <c r="G15" s="112">
        <v>93.5</v>
      </c>
      <c r="H15" s="321">
        <v>1</v>
      </c>
      <c r="I15" s="141">
        <v>0.96740000000000004</v>
      </c>
      <c r="J15" s="142">
        <v>221506</v>
      </c>
      <c r="K15" s="142">
        <v>218985</v>
      </c>
      <c r="L15" s="142">
        <v>1670</v>
      </c>
      <c r="M15" s="142">
        <f t="shared" si="0"/>
        <v>851</v>
      </c>
      <c r="N15" s="137" t="s">
        <v>616</v>
      </c>
      <c r="O15" s="760">
        <v>163300000</v>
      </c>
      <c r="P15" s="286" t="s">
        <v>619</v>
      </c>
    </row>
    <row r="16" spans="1:17" s="118" customFormat="1" ht="77.25" customHeight="1">
      <c r="A16" s="750">
        <f t="shared" si="1"/>
        <v>7</v>
      </c>
      <c r="B16" s="765" t="s">
        <v>620</v>
      </c>
      <c r="C16" s="551" t="s">
        <v>41</v>
      </c>
      <c r="D16" s="766" t="s">
        <v>54</v>
      </c>
      <c r="E16" s="767" t="s">
        <v>23</v>
      </c>
      <c r="F16" s="768">
        <v>1322</v>
      </c>
      <c r="G16" s="769">
        <v>89</v>
      </c>
      <c r="H16" s="770">
        <v>0</v>
      </c>
      <c r="I16" s="771">
        <v>4.9399999999999999E-2</v>
      </c>
      <c r="J16" s="338">
        <v>133429</v>
      </c>
      <c r="K16" s="338">
        <v>6592</v>
      </c>
      <c r="L16" s="338">
        <v>20000</v>
      </c>
      <c r="M16" s="36">
        <f t="shared" si="0"/>
        <v>106837</v>
      </c>
      <c r="N16" s="772" t="s">
        <v>104</v>
      </c>
      <c r="O16" s="773">
        <f>(69.272*1000000)/4.8</f>
        <v>14431666.666666668</v>
      </c>
      <c r="P16" s="774"/>
    </row>
    <row r="17" spans="1:1019" s="145" customFormat="1" ht="97.5" customHeight="1">
      <c r="A17" s="750">
        <f t="shared" si="1"/>
        <v>8</v>
      </c>
      <c r="B17" s="775" t="s">
        <v>621</v>
      </c>
      <c r="C17" s="551" t="s">
        <v>41</v>
      </c>
      <c r="D17" s="766" t="s">
        <v>54</v>
      </c>
      <c r="E17" s="776" t="s">
        <v>23</v>
      </c>
      <c r="F17" s="777">
        <v>393</v>
      </c>
      <c r="G17" s="778">
        <v>91.5</v>
      </c>
      <c r="H17" s="779">
        <v>1</v>
      </c>
      <c r="I17" s="780">
        <v>0.60880000000000001</v>
      </c>
      <c r="J17" s="36">
        <v>433376</v>
      </c>
      <c r="K17" s="36">
        <v>263835</v>
      </c>
      <c r="L17" s="36">
        <v>0</v>
      </c>
      <c r="M17" s="36">
        <f t="shared" si="0"/>
        <v>169541</v>
      </c>
      <c r="N17" s="531" t="s">
        <v>622</v>
      </c>
      <c r="O17" s="781">
        <v>226396642</v>
      </c>
      <c r="P17" s="782" t="s">
        <v>623</v>
      </c>
    </row>
    <row r="18" spans="1:1019" s="118" customFormat="1" ht="77.25" hidden="1" customHeight="1">
      <c r="A18" s="750">
        <f t="shared" si="1"/>
        <v>9</v>
      </c>
      <c r="B18" s="783" t="s">
        <v>624</v>
      </c>
      <c r="C18" s="548" t="s">
        <v>21</v>
      </c>
      <c r="D18" s="766" t="s">
        <v>22</v>
      </c>
      <c r="E18" s="531" t="s">
        <v>23</v>
      </c>
      <c r="F18" s="784">
        <v>283</v>
      </c>
      <c r="G18" s="658">
        <v>88</v>
      </c>
      <c r="H18" s="779">
        <v>1</v>
      </c>
      <c r="I18" s="780">
        <v>0.99</v>
      </c>
      <c r="J18" s="36">
        <v>233538</v>
      </c>
      <c r="K18" s="36">
        <v>131195</v>
      </c>
      <c r="L18" s="36">
        <v>380</v>
      </c>
      <c r="M18" s="36">
        <f t="shared" si="0"/>
        <v>101963</v>
      </c>
      <c r="N18" s="766" t="s">
        <v>52</v>
      </c>
      <c r="O18" s="781">
        <v>30300420</v>
      </c>
      <c r="P18" s="774" t="s">
        <v>625</v>
      </c>
    </row>
    <row r="19" spans="1:1019" s="800" customFormat="1" ht="285.75" hidden="1" customHeight="1">
      <c r="A19" s="750">
        <f t="shared" si="1"/>
        <v>10</v>
      </c>
      <c r="B19" s="785" t="s">
        <v>626</v>
      </c>
      <c r="C19" s="786" t="s">
        <v>57</v>
      </c>
      <c r="D19" s="786" t="s">
        <v>57</v>
      </c>
      <c r="E19" s="787" t="s">
        <v>23</v>
      </c>
      <c r="F19" s="788">
        <v>1125</v>
      </c>
      <c r="G19" s="789"/>
      <c r="H19" s="779">
        <v>1</v>
      </c>
      <c r="I19" s="790">
        <v>0.93010000000000004</v>
      </c>
      <c r="J19" s="791">
        <v>334226</v>
      </c>
      <c r="K19" s="792">
        <v>310854</v>
      </c>
      <c r="L19" s="792">
        <v>22544</v>
      </c>
      <c r="M19" s="36">
        <f t="shared" si="0"/>
        <v>828</v>
      </c>
      <c r="N19" s="766" t="s">
        <v>104</v>
      </c>
      <c r="O19" s="793"/>
      <c r="P19" s="794" t="s">
        <v>627</v>
      </c>
      <c r="Q19" s="795"/>
      <c r="R19" s="796"/>
      <c r="S19" s="797"/>
      <c r="T19" s="798"/>
      <c r="U19" s="799"/>
      <c r="V19" s="799"/>
      <c r="W19" s="799"/>
      <c r="X19" s="799"/>
      <c r="Y19" s="799"/>
      <c r="Z19" s="799"/>
      <c r="AA19" s="799"/>
      <c r="AB19" s="799"/>
      <c r="AC19" s="799"/>
      <c r="AD19" s="799"/>
      <c r="AE19" s="799"/>
      <c r="AF19" s="799"/>
      <c r="AG19" s="799"/>
      <c r="AH19" s="799"/>
      <c r="AI19" s="799"/>
      <c r="AJ19" s="799"/>
      <c r="AK19" s="799"/>
      <c r="AL19" s="799"/>
      <c r="AM19" s="799"/>
      <c r="AN19" s="799"/>
      <c r="AO19" s="799"/>
      <c r="AP19" s="799"/>
      <c r="AQ19" s="799"/>
      <c r="AR19" s="799"/>
      <c r="AS19" s="799"/>
      <c r="AT19" s="799"/>
      <c r="AU19" s="799"/>
      <c r="AV19" s="799"/>
      <c r="AW19" s="799"/>
      <c r="AX19" s="799"/>
      <c r="AY19" s="799"/>
      <c r="AZ19" s="799"/>
      <c r="BA19" s="799"/>
      <c r="BB19" s="799"/>
      <c r="BC19" s="799"/>
      <c r="BD19" s="799"/>
      <c r="BE19" s="799"/>
      <c r="BF19" s="799"/>
      <c r="BG19" s="799"/>
      <c r="BH19" s="799"/>
      <c r="BI19" s="799"/>
      <c r="BJ19" s="799"/>
      <c r="BK19" s="799"/>
      <c r="BL19" s="799"/>
      <c r="BM19" s="799"/>
      <c r="BN19" s="799"/>
      <c r="BO19" s="799"/>
      <c r="BP19" s="799"/>
      <c r="BQ19" s="799"/>
      <c r="BR19" s="799"/>
      <c r="BS19" s="799"/>
      <c r="BT19" s="799"/>
      <c r="BU19" s="799"/>
      <c r="BV19" s="799"/>
      <c r="BW19" s="799"/>
      <c r="BX19" s="799"/>
      <c r="BY19" s="799"/>
      <c r="BZ19" s="799"/>
      <c r="CA19" s="799"/>
      <c r="CB19" s="799"/>
      <c r="CC19" s="799"/>
      <c r="CD19" s="799"/>
      <c r="CE19" s="799"/>
      <c r="CF19" s="799"/>
      <c r="CG19" s="799"/>
      <c r="CH19" s="799"/>
      <c r="CI19" s="799"/>
      <c r="CJ19" s="799"/>
      <c r="CK19" s="799"/>
      <c r="CL19" s="799"/>
      <c r="CM19" s="799"/>
      <c r="CN19" s="799"/>
      <c r="CO19" s="799"/>
      <c r="CP19" s="799"/>
      <c r="CQ19" s="799"/>
      <c r="CR19" s="799"/>
      <c r="CS19" s="799"/>
      <c r="CT19" s="799"/>
      <c r="CU19" s="799"/>
      <c r="CV19" s="799"/>
      <c r="CW19" s="799"/>
      <c r="CX19" s="799"/>
      <c r="CY19" s="799"/>
      <c r="CZ19" s="799"/>
      <c r="DA19" s="799"/>
      <c r="DB19" s="799"/>
      <c r="DC19" s="799"/>
      <c r="DD19" s="799"/>
      <c r="DE19" s="799"/>
      <c r="DF19" s="799"/>
      <c r="DG19" s="799"/>
      <c r="DH19" s="799"/>
      <c r="DI19" s="799"/>
      <c r="DJ19" s="799"/>
      <c r="DK19" s="799"/>
      <c r="DL19" s="799"/>
      <c r="DM19" s="799"/>
      <c r="DN19" s="799"/>
      <c r="DO19" s="799"/>
      <c r="DP19" s="799"/>
      <c r="DQ19" s="799"/>
      <c r="DR19" s="799"/>
      <c r="DS19" s="799"/>
      <c r="DT19" s="799"/>
      <c r="DU19" s="799"/>
      <c r="DV19" s="799"/>
      <c r="DW19" s="799"/>
      <c r="DX19" s="799"/>
      <c r="DY19" s="799"/>
      <c r="DZ19" s="799"/>
      <c r="EA19" s="799"/>
      <c r="EB19" s="799"/>
      <c r="EC19" s="799"/>
      <c r="ED19" s="799"/>
      <c r="EE19" s="799"/>
      <c r="EF19" s="799"/>
      <c r="EG19" s="799"/>
      <c r="EH19" s="799"/>
      <c r="EI19" s="799"/>
      <c r="EJ19" s="799"/>
      <c r="EK19" s="799"/>
      <c r="EL19" s="799"/>
      <c r="EM19" s="799"/>
      <c r="EN19" s="799"/>
      <c r="EO19" s="799"/>
      <c r="EP19" s="799"/>
      <c r="EQ19" s="799"/>
      <c r="ER19" s="799"/>
      <c r="ES19" s="799"/>
      <c r="ET19" s="799"/>
      <c r="EU19" s="799"/>
      <c r="EV19" s="799"/>
      <c r="EW19" s="799"/>
      <c r="EX19" s="799"/>
      <c r="EY19" s="799"/>
      <c r="EZ19" s="799"/>
      <c r="FA19" s="799"/>
      <c r="FB19" s="799"/>
      <c r="FC19" s="799"/>
      <c r="FD19" s="799"/>
      <c r="FE19" s="799"/>
      <c r="FF19" s="799"/>
      <c r="FG19" s="799"/>
      <c r="FH19" s="799"/>
      <c r="FI19" s="799"/>
      <c r="FJ19" s="799"/>
      <c r="FK19" s="799"/>
      <c r="FL19" s="799"/>
      <c r="FM19" s="799"/>
      <c r="FN19" s="799"/>
      <c r="FO19" s="799"/>
      <c r="FP19" s="799"/>
      <c r="FQ19" s="799"/>
      <c r="FR19" s="799"/>
      <c r="FS19" s="799"/>
      <c r="FT19" s="799"/>
      <c r="FU19" s="799"/>
      <c r="FV19" s="799"/>
      <c r="FW19" s="799"/>
      <c r="FX19" s="799"/>
      <c r="FY19" s="799"/>
      <c r="FZ19" s="799"/>
      <c r="GA19" s="799"/>
      <c r="GB19" s="799"/>
      <c r="GC19" s="799"/>
      <c r="GD19" s="799"/>
      <c r="GE19" s="799"/>
      <c r="GF19" s="799"/>
      <c r="GG19" s="799"/>
      <c r="GH19" s="799"/>
      <c r="GI19" s="799"/>
      <c r="GJ19" s="799"/>
      <c r="GK19" s="799"/>
      <c r="GL19" s="799"/>
      <c r="GM19" s="799"/>
      <c r="GN19" s="799"/>
      <c r="GO19" s="799"/>
      <c r="GP19" s="799"/>
      <c r="GQ19" s="799"/>
      <c r="GR19" s="799"/>
      <c r="GS19" s="799"/>
      <c r="GT19" s="799"/>
      <c r="GU19" s="799"/>
      <c r="GV19" s="799"/>
      <c r="GW19" s="799"/>
      <c r="GX19" s="799"/>
      <c r="GY19" s="799"/>
      <c r="GZ19" s="799"/>
      <c r="HA19" s="799"/>
      <c r="HB19" s="799"/>
      <c r="HC19" s="799"/>
      <c r="HD19" s="799"/>
      <c r="HE19" s="799"/>
      <c r="HF19" s="799"/>
      <c r="HG19" s="799"/>
      <c r="HH19" s="799"/>
      <c r="HI19" s="799"/>
      <c r="HJ19" s="799"/>
      <c r="HK19" s="799"/>
      <c r="HL19" s="799"/>
      <c r="HM19" s="799"/>
      <c r="HN19" s="799"/>
      <c r="HO19" s="799"/>
      <c r="HP19" s="799"/>
      <c r="HQ19" s="799"/>
      <c r="HR19" s="799"/>
      <c r="HS19" s="799"/>
      <c r="HT19" s="799"/>
      <c r="HU19" s="799"/>
      <c r="HV19" s="799"/>
      <c r="HW19" s="799"/>
      <c r="HX19" s="799"/>
      <c r="HY19" s="799"/>
      <c r="HZ19" s="799"/>
      <c r="IA19" s="799"/>
      <c r="IB19" s="799"/>
      <c r="IC19" s="799"/>
      <c r="ID19" s="799"/>
      <c r="IE19" s="799"/>
      <c r="IF19" s="799"/>
      <c r="IG19" s="799"/>
      <c r="IH19" s="799"/>
      <c r="II19" s="799"/>
      <c r="IJ19" s="799"/>
      <c r="IK19" s="799"/>
      <c r="IL19" s="799"/>
      <c r="IM19" s="799"/>
      <c r="IN19" s="799"/>
      <c r="IO19" s="799"/>
      <c r="IP19" s="799"/>
      <c r="AME19" s="799"/>
    </row>
    <row r="20" spans="1:1019" s="145" customFormat="1" ht="77.25" customHeight="1">
      <c r="A20" s="750">
        <f t="shared" si="1"/>
        <v>11</v>
      </c>
      <c r="B20" s="135" t="s">
        <v>628</v>
      </c>
      <c r="C20" s="114" t="s">
        <v>41</v>
      </c>
      <c r="D20" s="137" t="s">
        <v>54</v>
      </c>
      <c r="E20" s="138" t="s">
        <v>23</v>
      </c>
      <c r="F20" s="139">
        <v>814</v>
      </c>
      <c r="G20" s="751">
        <v>86.5</v>
      </c>
      <c r="H20" s="140">
        <v>1</v>
      </c>
      <c r="I20" s="141">
        <v>0.79510000000000003</v>
      </c>
      <c r="J20" s="142">
        <v>189341</v>
      </c>
      <c r="K20" s="142">
        <v>150538</v>
      </c>
      <c r="L20" s="142">
        <v>614</v>
      </c>
      <c r="M20" s="142">
        <f t="shared" si="0"/>
        <v>38189</v>
      </c>
      <c r="N20" s="137" t="s">
        <v>611</v>
      </c>
      <c r="O20" s="801">
        <v>17.25</v>
      </c>
      <c r="P20" s="758" t="s">
        <v>612</v>
      </c>
    </row>
    <row r="21" spans="1:1019" s="145" customFormat="1" ht="77.25" customHeight="1">
      <c r="A21" s="750">
        <f t="shared" si="1"/>
        <v>12</v>
      </c>
      <c r="B21" s="802" t="s">
        <v>629</v>
      </c>
      <c r="C21" s="114" t="s">
        <v>41</v>
      </c>
      <c r="D21" s="137" t="s">
        <v>54</v>
      </c>
      <c r="E21" s="757" t="s">
        <v>23</v>
      </c>
      <c r="F21" s="762">
        <v>1083</v>
      </c>
      <c r="G21" s="112">
        <v>85.5</v>
      </c>
      <c r="H21" s="141">
        <v>1</v>
      </c>
      <c r="I21" s="141">
        <v>0.44019999999999998</v>
      </c>
      <c r="J21" s="142">
        <v>321838</v>
      </c>
      <c r="K21" s="142">
        <v>141684</v>
      </c>
      <c r="L21" s="142">
        <v>10023</v>
      </c>
      <c r="M21" s="142">
        <f t="shared" si="0"/>
        <v>170131</v>
      </c>
      <c r="N21" s="803" t="s">
        <v>630</v>
      </c>
      <c r="O21" s="760">
        <v>52940000</v>
      </c>
      <c r="P21" s="804" t="s">
        <v>612</v>
      </c>
    </row>
    <row r="22" spans="1:1019" s="145" customFormat="1" ht="77.25" customHeight="1">
      <c r="A22" s="750">
        <f t="shared" si="1"/>
        <v>13</v>
      </c>
      <c r="B22" s="135" t="s">
        <v>631</v>
      </c>
      <c r="C22" s="114" t="s">
        <v>41</v>
      </c>
      <c r="D22" s="137" t="s">
        <v>54</v>
      </c>
      <c r="E22" s="138" t="s">
        <v>23</v>
      </c>
      <c r="F22" s="139">
        <v>1385</v>
      </c>
      <c r="G22" s="112">
        <v>84.5</v>
      </c>
      <c r="H22" s="141">
        <v>1</v>
      </c>
      <c r="I22" s="141">
        <v>0.73470000000000002</v>
      </c>
      <c r="J22" s="142">
        <v>520618</v>
      </c>
      <c r="K22" s="142">
        <v>382496</v>
      </c>
      <c r="L22" s="142">
        <v>2000</v>
      </c>
      <c r="M22" s="142">
        <f t="shared" si="0"/>
        <v>136122</v>
      </c>
      <c r="N22" s="803" t="s">
        <v>632</v>
      </c>
      <c r="O22" s="760">
        <v>93770000</v>
      </c>
      <c r="P22" s="805" t="s">
        <v>633</v>
      </c>
    </row>
    <row r="23" spans="1:1019" s="145" customFormat="1" ht="204.75" customHeight="1">
      <c r="A23" s="750">
        <f t="shared" si="1"/>
        <v>14</v>
      </c>
      <c r="B23" s="135" t="s">
        <v>634</v>
      </c>
      <c r="C23" s="114" t="s">
        <v>41</v>
      </c>
      <c r="D23" s="137" t="s">
        <v>54</v>
      </c>
      <c r="E23" s="138" t="s">
        <v>23</v>
      </c>
      <c r="F23" s="139">
        <v>416</v>
      </c>
      <c r="G23" s="112">
        <v>84.5</v>
      </c>
      <c r="H23" s="141">
        <v>1</v>
      </c>
      <c r="I23" s="141">
        <v>0.91379999999999995</v>
      </c>
      <c r="J23" s="142">
        <v>1497133</v>
      </c>
      <c r="K23" s="142">
        <v>1368069</v>
      </c>
      <c r="L23" s="142">
        <v>0</v>
      </c>
      <c r="M23" s="142">
        <f t="shared" si="0"/>
        <v>129064</v>
      </c>
      <c r="N23" s="138" t="s">
        <v>635</v>
      </c>
      <c r="O23" s="760">
        <f>356262185/4.8</f>
        <v>74221288.541666672</v>
      </c>
      <c r="P23" s="804" t="s">
        <v>636</v>
      </c>
    </row>
    <row r="24" spans="1:1019" s="145" customFormat="1" ht="77.25" customHeight="1">
      <c r="A24" s="750">
        <f t="shared" si="1"/>
        <v>15</v>
      </c>
      <c r="B24" s="135" t="s">
        <v>637</v>
      </c>
      <c r="C24" s="114" t="s">
        <v>41</v>
      </c>
      <c r="D24" s="137" t="s">
        <v>54</v>
      </c>
      <c r="E24" s="138" t="s">
        <v>23</v>
      </c>
      <c r="F24" s="139">
        <v>909</v>
      </c>
      <c r="G24" s="751">
        <v>82.5</v>
      </c>
      <c r="H24" s="140">
        <v>1</v>
      </c>
      <c r="I24" s="141">
        <v>0.77359999999999995</v>
      </c>
      <c r="J24" s="142">
        <v>1174445</v>
      </c>
      <c r="K24" s="142">
        <v>908599</v>
      </c>
      <c r="L24" s="142">
        <v>28443</v>
      </c>
      <c r="M24" s="142">
        <f t="shared" si="0"/>
        <v>237403</v>
      </c>
      <c r="N24" s="137" t="s">
        <v>638</v>
      </c>
      <c r="O24" s="760">
        <v>60571000</v>
      </c>
      <c r="P24" s="806" t="s">
        <v>639</v>
      </c>
    </row>
    <row r="25" spans="1:1019" s="145" customFormat="1" ht="172.5" customHeight="1">
      <c r="A25" s="750">
        <f t="shared" si="1"/>
        <v>16</v>
      </c>
      <c r="B25" s="135" t="s">
        <v>640</v>
      </c>
      <c r="C25" s="114" t="s">
        <v>41</v>
      </c>
      <c r="D25" s="137" t="s">
        <v>54</v>
      </c>
      <c r="E25" s="138" t="s">
        <v>23</v>
      </c>
      <c r="F25" s="139">
        <v>411</v>
      </c>
      <c r="G25" s="751">
        <v>81.5</v>
      </c>
      <c r="H25" s="140">
        <v>1</v>
      </c>
      <c r="I25" s="141">
        <v>0.9859</v>
      </c>
      <c r="J25" s="142">
        <v>1932217</v>
      </c>
      <c r="K25" s="142">
        <v>1905008</v>
      </c>
      <c r="L25" s="142">
        <v>180</v>
      </c>
      <c r="M25" s="142">
        <f t="shared" si="0"/>
        <v>27029</v>
      </c>
      <c r="N25" s="803" t="s">
        <v>641</v>
      </c>
      <c r="O25" s="760">
        <v>1192250000</v>
      </c>
      <c r="P25" s="804" t="s">
        <v>642</v>
      </c>
    </row>
    <row r="26" spans="1:1019" s="145" customFormat="1" ht="77.25" customHeight="1">
      <c r="A26" s="750">
        <f t="shared" si="1"/>
        <v>17</v>
      </c>
      <c r="B26" s="135" t="s">
        <v>643</v>
      </c>
      <c r="C26" s="114" t="s">
        <v>41</v>
      </c>
      <c r="D26" s="137" t="s">
        <v>54</v>
      </c>
      <c r="E26" s="138" t="s">
        <v>23</v>
      </c>
      <c r="F26" s="139">
        <v>996</v>
      </c>
      <c r="G26" s="751">
        <v>81.5</v>
      </c>
      <c r="H26" s="141">
        <v>1</v>
      </c>
      <c r="I26" s="141">
        <v>0.7802</v>
      </c>
      <c r="J26" s="142">
        <v>531394</v>
      </c>
      <c r="K26" s="142">
        <v>414577</v>
      </c>
      <c r="L26" s="142">
        <v>1190</v>
      </c>
      <c r="M26" s="142">
        <f t="shared" si="0"/>
        <v>115627</v>
      </c>
      <c r="N26" s="803" t="s">
        <v>644</v>
      </c>
      <c r="O26" s="760">
        <v>904153000</v>
      </c>
      <c r="P26" s="758" t="s">
        <v>645</v>
      </c>
    </row>
    <row r="27" spans="1:1019" s="145" customFormat="1" ht="77.25" customHeight="1">
      <c r="A27" s="750">
        <f t="shared" si="1"/>
        <v>18</v>
      </c>
      <c r="B27" s="135" t="s">
        <v>646</v>
      </c>
      <c r="C27" s="114" t="s">
        <v>41</v>
      </c>
      <c r="D27" s="137" t="s">
        <v>54</v>
      </c>
      <c r="E27" s="138" t="s">
        <v>23</v>
      </c>
      <c r="F27" s="139">
        <v>990</v>
      </c>
      <c r="G27" s="751">
        <v>81.5</v>
      </c>
      <c r="H27" s="141">
        <v>1</v>
      </c>
      <c r="I27" s="141">
        <v>0.62350000000000005</v>
      </c>
      <c r="J27" s="142">
        <v>1397821</v>
      </c>
      <c r="K27" s="142">
        <v>871590</v>
      </c>
      <c r="L27" s="142">
        <v>17354</v>
      </c>
      <c r="M27" s="142">
        <f t="shared" si="0"/>
        <v>508877</v>
      </c>
      <c r="N27" s="807" t="s">
        <v>647</v>
      </c>
      <c r="O27" s="760">
        <v>755742000</v>
      </c>
      <c r="P27" s="758" t="s">
        <v>648</v>
      </c>
    </row>
    <row r="28" spans="1:1019" s="145" customFormat="1" ht="77.25" customHeight="1">
      <c r="A28" s="750">
        <f t="shared" si="1"/>
        <v>19</v>
      </c>
      <c r="B28" s="135" t="s">
        <v>649</v>
      </c>
      <c r="C28" s="114" t="s">
        <v>41</v>
      </c>
      <c r="D28" s="137" t="s">
        <v>54</v>
      </c>
      <c r="E28" s="138" t="s">
        <v>23</v>
      </c>
      <c r="F28" s="139">
        <v>991</v>
      </c>
      <c r="G28" s="751">
        <v>81.5</v>
      </c>
      <c r="H28" s="141">
        <v>1</v>
      </c>
      <c r="I28" s="141">
        <v>0.8931</v>
      </c>
      <c r="J28" s="142">
        <v>1302478</v>
      </c>
      <c r="K28" s="142">
        <v>1163218</v>
      </c>
      <c r="L28" s="142">
        <v>160</v>
      </c>
      <c r="M28" s="142">
        <f t="shared" si="0"/>
        <v>139100</v>
      </c>
      <c r="N28" s="137" t="s">
        <v>650</v>
      </c>
      <c r="O28" s="760">
        <f>219.6*1000000</f>
        <v>219600000</v>
      </c>
      <c r="P28" s="804" t="s">
        <v>633</v>
      </c>
    </row>
    <row r="29" spans="1:1019" s="145" customFormat="1" ht="77.25" customHeight="1">
      <c r="A29" s="750">
        <f t="shared" si="1"/>
        <v>20</v>
      </c>
      <c r="B29" s="135" t="s">
        <v>651</v>
      </c>
      <c r="C29" s="114" t="s">
        <v>41</v>
      </c>
      <c r="D29" s="137" t="s">
        <v>54</v>
      </c>
      <c r="E29" s="138" t="s">
        <v>23</v>
      </c>
      <c r="F29" s="139">
        <v>1175</v>
      </c>
      <c r="G29" s="751">
        <v>81.5</v>
      </c>
      <c r="H29" s="141">
        <v>1</v>
      </c>
      <c r="I29" s="141">
        <v>1</v>
      </c>
      <c r="J29" s="142">
        <v>234187</v>
      </c>
      <c r="K29" s="142">
        <v>234183</v>
      </c>
      <c r="L29" s="142">
        <v>0</v>
      </c>
      <c r="M29" s="142">
        <f t="shared" si="0"/>
        <v>4</v>
      </c>
      <c r="N29" s="137" t="s">
        <v>644</v>
      </c>
      <c r="O29" s="760">
        <v>178620000</v>
      </c>
      <c r="P29" s="758" t="s">
        <v>612</v>
      </c>
    </row>
    <row r="30" spans="1:1019" s="145" customFormat="1" ht="90.75" customHeight="1">
      <c r="A30" s="750">
        <f t="shared" si="1"/>
        <v>21</v>
      </c>
      <c r="B30" s="135" t="s">
        <v>652</v>
      </c>
      <c r="C30" s="114" t="s">
        <v>41</v>
      </c>
      <c r="D30" s="137" t="s">
        <v>54</v>
      </c>
      <c r="E30" s="138" t="s">
        <v>23</v>
      </c>
      <c r="F30" s="139">
        <v>397</v>
      </c>
      <c r="G30" s="112">
        <v>81.5</v>
      </c>
      <c r="H30" s="808">
        <v>1</v>
      </c>
      <c r="I30" s="808">
        <v>0.78369999999999995</v>
      </c>
      <c r="J30" s="809">
        <v>775042</v>
      </c>
      <c r="K30" s="809">
        <v>607397</v>
      </c>
      <c r="L30" s="809">
        <v>660</v>
      </c>
      <c r="M30" s="142">
        <f t="shared" si="0"/>
        <v>166985</v>
      </c>
      <c r="N30" s="810" t="s">
        <v>653</v>
      </c>
      <c r="O30" s="760">
        <v>169000000</v>
      </c>
      <c r="P30" s="804" t="s">
        <v>654</v>
      </c>
    </row>
    <row r="31" spans="1:1019" s="145" customFormat="1" ht="77.25" customHeight="1">
      <c r="A31" s="750">
        <f t="shared" si="1"/>
        <v>22</v>
      </c>
      <c r="B31" s="135" t="s">
        <v>655</v>
      </c>
      <c r="C31" s="114" t="s">
        <v>41</v>
      </c>
      <c r="D31" s="137" t="s">
        <v>54</v>
      </c>
      <c r="E31" s="138" t="s">
        <v>23</v>
      </c>
      <c r="F31" s="139">
        <v>1082</v>
      </c>
      <c r="G31" s="112">
        <v>81.5</v>
      </c>
      <c r="H31" s="141">
        <v>1</v>
      </c>
      <c r="I31" s="141">
        <v>0.50849999999999995</v>
      </c>
      <c r="J31" s="142">
        <v>461513</v>
      </c>
      <c r="K31" s="142">
        <v>234658</v>
      </c>
      <c r="L31" s="142">
        <v>3570</v>
      </c>
      <c r="M31" s="142">
        <f t="shared" si="0"/>
        <v>223285</v>
      </c>
      <c r="N31" s="803" t="s">
        <v>656</v>
      </c>
      <c r="O31" s="760">
        <v>162664000</v>
      </c>
      <c r="P31" s="806" t="s">
        <v>633</v>
      </c>
    </row>
    <row r="32" spans="1:1019" s="145" customFormat="1" ht="105" customHeight="1">
      <c r="A32" s="750">
        <f t="shared" si="1"/>
        <v>23</v>
      </c>
      <c r="B32" s="135" t="s">
        <v>657</v>
      </c>
      <c r="C32" s="114" t="s">
        <v>41</v>
      </c>
      <c r="D32" s="137" t="s">
        <v>54</v>
      </c>
      <c r="E32" s="138" t="s">
        <v>23</v>
      </c>
      <c r="F32" s="139">
        <v>401</v>
      </c>
      <c r="G32" s="751">
        <v>81.5</v>
      </c>
      <c r="H32" s="140">
        <v>1</v>
      </c>
      <c r="I32" s="141">
        <v>0.73719999999999997</v>
      </c>
      <c r="J32" s="147">
        <v>1650060</v>
      </c>
      <c r="K32" s="147">
        <v>1216378</v>
      </c>
      <c r="L32" s="147">
        <v>25</v>
      </c>
      <c r="M32" s="142">
        <f t="shared" si="0"/>
        <v>433657</v>
      </c>
      <c r="N32" s="137" t="s">
        <v>635</v>
      </c>
      <c r="O32" s="760">
        <v>96000000</v>
      </c>
      <c r="P32" s="804" t="s">
        <v>658</v>
      </c>
    </row>
    <row r="33" spans="1:16" s="145" customFormat="1" ht="77.25" customHeight="1">
      <c r="A33" s="750">
        <f t="shared" si="1"/>
        <v>24</v>
      </c>
      <c r="B33" s="135" t="s">
        <v>659</v>
      </c>
      <c r="C33" s="114" t="s">
        <v>41</v>
      </c>
      <c r="D33" s="137" t="s">
        <v>54</v>
      </c>
      <c r="E33" s="138" t="s">
        <v>23</v>
      </c>
      <c r="F33" s="139">
        <v>982</v>
      </c>
      <c r="G33" s="112">
        <v>81.5</v>
      </c>
      <c r="H33" s="141">
        <v>1</v>
      </c>
      <c r="I33" s="141">
        <v>0.74839999999999995</v>
      </c>
      <c r="J33" s="142">
        <v>416658</v>
      </c>
      <c r="K33" s="142">
        <v>311817</v>
      </c>
      <c r="L33" s="142">
        <v>5555</v>
      </c>
      <c r="M33" s="142">
        <f t="shared" si="0"/>
        <v>99286</v>
      </c>
      <c r="N33" s="803" t="s">
        <v>614</v>
      </c>
      <c r="O33" s="760">
        <v>68340000</v>
      </c>
      <c r="P33" s="804" t="s">
        <v>660</v>
      </c>
    </row>
    <row r="34" spans="1:16" s="145" customFormat="1" ht="77.25" customHeight="1">
      <c r="A34" s="750">
        <f t="shared" si="1"/>
        <v>25</v>
      </c>
      <c r="B34" s="802" t="s">
        <v>661</v>
      </c>
      <c r="C34" s="114" t="s">
        <v>41</v>
      </c>
      <c r="D34" s="137" t="s">
        <v>54</v>
      </c>
      <c r="E34" s="757" t="s">
        <v>23</v>
      </c>
      <c r="F34" s="762">
        <v>1085</v>
      </c>
      <c r="G34" s="751">
        <v>81.5</v>
      </c>
      <c r="H34" s="141">
        <v>1</v>
      </c>
      <c r="I34" s="141">
        <v>0.55300000000000005</v>
      </c>
      <c r="J34" s="142">
        <v>348744</v>
      </c>
      <c r="K34" s="142">
        <v>192859</v>
      </c>
      <c r="L34" s="142">
        <v>0</v>
      </c>
      <c r="M34" s="142">
        <f t="shared" si="0"/>
        <v>155885</v>
      </c>
      <c r="N34" s="137" t="s">
        <v>644</v>
      </c>
      <c r="O34" s="760">
        <v>46280000</v>
      </c>
      <c r="P34" s="758" t="s">
        <v>612</v>
      </c>
    </row>
    <row r="35" spans="1:16" s="145" customFormat="1" ht="77.25" customHeight="1">
      <c r="A35" s="750">
        <f t="shared" si="1"/>
        <v>26</v>
      </c>
      <c r="B35" s="135" t="s">
        <v>662</v>
      </c>
      <c r="C35" s="114" t="s">
        <v>41</v>
      </c>
      <c r="D35" s="137" t="s">
        <v>54</v>
      </c>
      <c r="E35" s="138" t="s">
        <v>23</v>
      </c>
      <c r="F35" s="139">
        <v>418</v>
      </c>
      <c r="G35" s="751">
        <v>79.5</v>
      </c>
      <c r="H35" s="141">
        <v>1</v>
      </c>
      <c r="I35" s="141">
        <v>0.60819999999999996</v>
      </c>
      <c r="J35" s="142">
        <v>282039</v>
      </c>
      <c r="K35" s="142">
        <v>171548</v>
      </c>
      <c r="L35" s="142">
        <v>0</v>
      </c>
      <c r="M35" s="142">
        <f t="shared" si="0"/>
        <v>110491</v>
      </c>
      <c r="N35" s="138" t="s">
        <v>663</v>
      </c>
      <c r="O35" s="760">
        <v>150349000</v>
      </c>
      <c r="P35" s="758" t="s">
        <v>612</v>
      </c>
    </row>
    <row r="36" spans="1:16" s="145" customFormat="1" ht="77.25" customHeight="1">
      <c r="A36" s="750">
        <f t="shared" si="1"/>
        <v>27</v>
      </c>
      <c r="B36" s="135" t="s">
        <v>664</v>
      </c>
      <c r="C36" s="114" t="s">
        <v>41</v>
      </c>
      <c r="D36" s="137" t="s">
        <v>54</v>
      </c>
      <c r="E36" s="138" t="s">
        <v>23</v>
      </c>
      <c r="F36" s="139">
        <v>418</v>
      </c>
      <c r="G36" s="751">
        <v>79.5</v>
      </c>
      <c r="H36" s="140">
        <v>1</v>
      </c>
      <c r="I36" s="141">
        <v>0.63849999999999996</v>
      </c>
      <c r="J36" s="142">
        <v>373866</v>
      </c>
      <c r="K36" s="142">
        <v>238708</v>
      </c>
      <c r="L36" s="142">
        <v>0</v>
      </c>
      <c r="M36" s="142">
        <f t="shared" si="0"/>
        <v>135158</v>
      </c>
      <c r="N36" s="137" t="s">
        <v>622</v>
      </c>
      <c r="O36" s="760">
        <v>88140000</v>
      </c>
      <c r="P36" s="758" t="s">
        <v>612</v>
      </c>
    </row>
    <row r="37" spans="1:16" s="145" customFormat="1" ht="77.25" customHeight="1">
      <c r="A37" s="750">
        <f t="shared" si="1"/>
        <v>28</v>
      </c>
      <c r="B37" s="135" t="s">
        <v>665</v>
      </c>
      <c r="C37" s="114" t="s">
        <v>41</v>
      </c>
      <c r="D37" s="137" t="s">
        <v>54</v>
      </c>
      <c r="E37" s="138" t="s">
        <v>23</v>
      </c>
      <c r="F37" s="139">
        <v>1385</v>
      </c>
      <c r="G37" s="751">
        <v>79.5</v>
      </c>
      <c r="H37" s="141">
        <v>1</v>
      </c>
      <c r="I37" s="141">
        <v>0.46160000000000001</v>
      </c>
      <c r="J37" s="142">
        <v>334360</v>
      </c>
      <c r="K37" s="142">
        <v>154353</v>
      </c>
      <c r="L37" s="142">
        <v>0</v>
      </c>
      <c r="M37" s="142">
        <f t="shared" si="0"/>
        <v>180007</v>
      </c>
      <c r="N37" s="139" t="s">
        <v>666</v>
      </c>
      <c r="O37" s="760">
        <v>61101000</v>
      </c>
      <c r="P37" s="758" t="s">
        <v>667</v>
      </c>
    </row>
    <row r="38" spans="1:16" s="145" customFormat="1" ht="77.25" customHeight="1">
      <c r="A38" s="750">
        <f t="shared" si="1"/>
        <v>29</v>
      </c>
      <c r="B38" s="135" t="s">
        <v>668</v>
      </c>
      <c r="C38" s="114" t="s">
        <v>41</v>
      </c>
      <c r="D38" s="137" t="s">
        <v>54</v>
      </c>
      <c r="E38" s="138" t="s">
        <v>23</v>
      </c>
      <c r="F38" s="139">
        <v>1385</v>
      </c>
      <c r="G38" s="112">
        <v>79.5</v>
      </c>
      <c r="H38" s="141">
        <v>1</v>
      </c>
      <c r="I38" s="141">
        <v>0.71419999999999995</v>
      </c>
      <c r="J38" s="142">
        <v>285931</v>
      </c>
      <c r="K38" s="142">
        <v>204219</v>
      </c>
      <c r="L38" s="142">
        <v>0</v>
      </c>
      <c r="M38" s="142">
        <f t="shared" si="0"/>
        <v>81712</v>
      </c>
      <c r="N38" s="137" t="s">
        <v>611</v>
      </c>
      <c r="O38" s="760">
        <v>45736000</v>
      </c>
      <c r="P38" s="806" t="s">
        <v>633</v>
      </c>
    </row>
    <row r="39" spans="1:16" s="145" customFormat="1" ht="77.25" customHeight="1">
      <c r="A39" s="750">
        <f t="shared" si="1"/>
        <v>30</v>
      </c>
      <c r="B39" s="135" t="s">
        <v>669</v>
      </c>
      <c r="C39" s="114" t="s">
        <v>41</v>
      </c>
      <c r="D39" s="137" t="s">
        <v>54</v>
      </c>
      <c r="E39" s="138" t="s">
        <v>23</v>
      </c>
      <c r="F39" s="139">
        <v>417</v>
      </c>
      <c r="G39" s="751">
        <v>79.5</v>
      </c>
      <c r="H39" s="141">
        <v>1</v>
      </c>
      <c r="I39" s="141">
        <v>0.96109999999999995</v>
      </c>
      <c r="J39" s="142">
        <v>115885</v>
      </c>
      <c r="K39" s="142">
        <v>111374</v>
      </c>
      <c r="L39" s="142">
        <v>0</v>
      </c>
      <c r="M39" s="142">
        <f t="shared" si="0"/>
        <v>4511</v>
      </c>
      <c r="N39" s="137" t="s">
        <v>622</v>
      </c>
      <c r="O39" s="760">
        <v>22990000</v>
      </c>
      <c r="P39" s="286" t="s">
        <v>670</v>
      </c>
    </row>
    <row r="40" spans="1:16" s="145" customFormat="1" ht="77.25" customHeight="1">
      <c r="A40" s="750">
        <f t="shared" si="1"/>
        <v>31</v>
      </c>
      <c r="B40" s="135" t="s">
        <v>671</v>
      </c>
      <c r="C40" s="114" t="s">
        <v>41</v>
      </c>
      <c r="D40" s="137" t="s">
        <v>229</v>
      </c>
      <c r="E40" s="138" t="s">
        <v>23</v>
      </c>
      <c r="F40" s="139">
        <v>384</v>
      </c>
      <c r="G40" s="112">
        <v>79</v>
      </c>
      <c r="H40" s="141">
        <v>1</v>
      </c>
      <c r="I40" s="141">
        <v>0.92600000000000005</v>
      </c>
      <c r="J40" s="142">
        <v>2023407</v>
      </c>
      <c r="K40" s="142">
        <v>1877036</v>
      </c>
      <c r="L40" s="142">
        <v>1032</v>
      </c>
      <c r="M40" s="142">
        <f t="shared" si="0"/>
        <v>145339</v>
      </c>
      <c r="N40" s="137" t="s">
        <v>672</v>
      </c>
      <c r="O40" s="143">
        <f>15.8*1000000</f>
        <v>15800000</v>
      </c>
      <c r="P40" s="286" t="s">
        <v>673</v>
      </c>
    </row>
    <row r="41" spans="1:16" s="145" customFormat="1" ht="141.75" customHeight="1">
      <c r="A41" s="750">
        <f t="shared" si="1"/>
        <v>32</v>
      </c>
      <c r="B41" s="135" t="s">
        <v>674</v>
      </c>
      <c r="C41" s="114" t="s">
        <v>41</v>
      </c>
      <c r="D41" s="137" t="s">
        <v>54</v>
      </c>
      <c r="E41" s="138" t="s">
        <v>23</v>
      </c>
      <c r="F41" s="139">
        <v>1174</v>
      </c>
      <c r="G41" s="751">
        <v>78</v>
      </c>
      <c r="H41" s="140">
        <v>1</v>
      </c>
      <c r="I41" s="321">
        <v>1.2190000000000001</v>
      </c>
      <c r="J41" s="142">
        <v>329248</v>
      </c>
      <c r="K41" s="142">
        <v>401340</v>
      </c>
      <c r="L41" s="142">
        <v>0</v>
      </c>
      <c r="M41" s="142">
        <f t="shared" si="0"/>
        <v>-72092</v>
      </c>
      <c r="N41" s="137" t="s">
        <v>635</v>
      </c>
      <c r="O41" s="760">
        <v>539237000</v>
      </c>
      <c r="P41" s="806" t="s">
        <v>675</v>
      </c>
    </row>
    <row r="42" spans="1:16" s="145" customFormat="1" ht="148.5" customHeight="1">
      <c r="A42" s="750">
        <f t="shared" si="1"/>
        <v>33</v>
      </c>
      <c r="B42" s="135" t="s">
        <v>676</v>
      </c>
      <c r="C42" s="114" t="s">
        <v>41</v>
      </c>
      <c r="D42" s="137" t="s">
        <v>54</v>
      </c>
      <c r="E42" s="138" t="s">
        <v>23</v>
      </c>
      <c r="F42" s="139">
        <v>1165</v>
      </c>
      <c r="G42" s="751">
        <v>78</v>
      </c>
      <c r="H42" s="141">
        <v>1</v>
      </c>
      <c r="I42" s="141">
        <v>1.1124000000000001</v>
      </c>
      <c r="J42" s="142">
        <v>204118</v>
      </c>
      <c r="K42" s="142">
        <v>227058</v>
      </c>
      <c r="L42" s="142">
        <v>0</v>
      </c>
      <c r="M42" s="142">
        <f t="shared" ref="M42:M60" si="2">J42-K42-L42</f>
        <v>-22940</v>
      </c>
      <c r="N42" s="138" t="s">
        <v>666</v>
      </c>
      <c r="O42" s="760">
        <v>162664000</v>
      </c>
      <c r="P42" s="806" t="s">
        <v>677</v>
      </c>
    </row>
    <row r="43" spans="1:16" s="145" customFormat="1" ht="128.25" customHeight="1">
      <c r="A43" s="750">
        <f t="shared" ref="A43:A60" si="3">A42+1</f>
        <v>34</v>
      </c>
      <c r="B43" s="135" t="s">
        <v>678</v>
      </c>
      <c r="C43" s="114" t="s">
        <v>41</v>
      </c>
      <c r="D43" s="137" t="s">
        <v>54</v>
      </c>
      <c r="E43" s="138" t="s">
        <v>23</v>
      </c>
      <c r="F43" s="139">
        <v>399</v>
      </c>
      <c r="G43" s="751">
        <v>78</v>
      </c>
      <c r="H43" s="140">
        <v>1</v>
      </c>
      <c r="I43" s="141">
        <v>0.78749999999999998</v>
      </c>
      <c r="J43" s="142">
        <v>887402</v>
      </c>
      <c r="K43" s="142">
        <v>698819</v>
      </c>
      <c r="L43" s="142">
        <v>0</v>
      </c>
      <c r="M43" s="142">
        <f t="shared" si="2"/>
        <v>188583</v>
      </c>
      <c r="N43" s="803" t="s">
        <v>679</v>
      </c>
      <c r="O43" s="760">
        <v>136300000</v>
      </c>
      <c r="P43" s="804" t="s">
        <v>680</v>
      </c>
    </row>
    <row r="44" spans="1:16" s="145" customFormat="1" ht="180.75" customHeight="1">
      <c r="A44" s="750">
        <f t="shared" si="3"/>
        <v>35</v>
      </c>
      <c r="B44" s="135" t="s">
        <v>681</v>
      </c>
      <c r="C44" s="114" t="s">
        <v>41</v>
      </c>
      <c r="D44" s="137" t="s">
        <v>54</v>
      </c>
      <c r="E44" s="138" t="s">
        <v>23</v>
      </c>
      <c r="F44" s="139">
        <v>412</v>
      </c>
      <c r="G44" s="112">
        <v>78</v>
      </c>
      <c r="H44" s="141">
        <v>1</v>
      </c>
      <c r="I44" s="141">
        <v>1.0098</v>
      </c>
      <c r="J44" s="142">
        <v>1763194</v>
      </c>
      <c r="K44" s="142">
        <v>1780488</v>
      </c>
      <c r="L44" s="142">
        <v>18</v>
      </c>
      <c r="M44" s="142">
        <f t="shared" si="2"/>
        <v>-17312</v>
      </c>
      <c r="N44" s="807" t="s">
        <v>682</v>
      </c>
      <c r="O44" s="760">
        <v>130260000</v>
      </c>
      <c r="P44" s="804" t="s">
        <v>642</v>
      </c>
    </row>
    <row r="45" spans="1:16" s="145" customFormat="1" ht="156" customHeight="1">
      <c r="A45" s="750">
        <f t="shared" si="3"/>
        <v>36</v>
      </c>
      <c r="B45" s="135" t="s">
        <v>683</v>
      </c>
      <c r="C45" s="114" t="s">
        <v>41</v>
      </c>
      <c r="D45" s="137" t="s">
        <v>54</v>
      </c>
      <c r="E45" s="138" t="s">
        <v>23</v>
      </c>
      <c r="F45" s="139">
        <v>400</v>
      </c>
      <c r="G45" s="112">
        <v>78</v>
      </c>
      <c r="H45" s="141">
        <v>1</v>
      </c>
      <c r="I45" s="141">
        <v>1.0089999999999999</v>
      </c>
      <c r="J45" s="142">
        <v>1405079</v>
      </c>
      <c r="K45" s="142">
        <v>1417786</v>
      </c>
      <c r="L45" s="142">
        <v>36763</v>
      </c>
      <c r="M45" s="142">
        <f t="shared" si="2"/>
        <v>-49470</v>
      </c>
      <c r="N45" s="759" t="s">
        <v>666</v>
      </c>
      <c r="O45" s="760">
        <v>104000000</v>
      </c>
      <c r="P45" s="804" t="s">
        <v>684</v>
      </c>
    </row>
    <row r="46" spans="1:16" s="145" customFormat="1" ht="171" customHeight="1">
      <c r="A46" s="750">
        <f t="shared" si="3"/>
        <v>37</v>
      </c>
      <c r="B46" s="135" t="s">
        <v>685</v>
      </c>
      <c r="C46" s="114" t="s">
        <v>41</v>
      </c>
      <c r="D46" s="137" t="s">
        <v>54</v>
      </c>
      <c r="E46" s="138" t="s">
        <v>23</v>
      </c>
      <c r="F46" s="139">
        <v>1115</v>
      </c>
      <c r="G46" s="751">
        <v>78</v>
      </c>
      <c r="H46" s="321">
        <v>1</v>
      </c>
      <c r="I46" s="321">
        <v>1.0232000000000001</v>
      </c>
      <c r="J46" s="142">
        <v>322976</v>
      </c>
      <c r="K46" s="142">
        <v>330470</v>
      </c>
      <c r="L46" s="142">
        <v>46209</v>
      </c>
      <c r="M46" s="142">
        <f t="shared" si="2"/>
        <v>-53703</v>
      </c>
      <c r="N46" s="137" t="s">
        <v>614</v>
      </c>
      <c r="O46" s="760">
        <v>46170000</v>
      </c>
      <c r="P46" s="806" t="s">
        <v>677</v>
      </c>
    </row>
    <row r="47" spans="1:16" s="145" customFormat="1" ht="161.25" customHeight="1">
      <c r="A47" s="750">
        <f t="shared" si="3"/>
        <v>38</v>
      </c>
      <c r="B47" s="135" t="s">
        <v>686</v>
      </c>
      <c r="C47" s="114" t="s">
        <v>41</v>
      </c>
      <c r="D47" s="137" t="s">
        <v>54</v>
      </c>
      <c r="E47" s="138" t="s">
        <v>23</v>
      </c>
      <c r="F47" s="139">
        <v>1173</v>
      </c>
      <c r="G47" s="751">
        <v>78</v>
      </c>
      <c r="H47" s="811">
        <v>1</v>
      </c>
      <c r="I47" s="141">
        <v>1.0273000000000001</v>
      </c>
      <c r="J47" s="142">
        <v>269440</v>
      </c>
      <c r="K47" s="142">
        <v>276794</v>
      </c>
      <c r="L47" s="142">
        <v>0</v>
      </c>
      <c r="M47" s="142">
        <f t="shared" si="2"/>
        <v>-7354</v>
      </c>
      <c r="N47" s="137" t="s">
        <v>614</v>
      </c>
      <c r="O47" s="760">
        <v>37370000</v>
      </c>
      <c r="P47" s="806" t="s">
        <v>677</v>
      </c>
    </row>
    <row r="48" spans="1:16" s="145" customFormat="1" ht="77.25" customHeight="1">
      <c r="A48" s="750">
        <f t="shared" si="3"/>
        <v>39</v>
      </c>
      <c r="B48" s="135" t="s">
        <v>687</v>
      </c>
      <c r="C48" s="114" t="s">
        <v>41</v>
      </c>
      <c r="D48" s="137" t="s">
        <v>54</v>
      </c>
      <c r="E48" s="138" t="s">
        <v>23</v>
      </c>
      <c r="F48" s="139">
        <v>367</v>
      </c>
      <c r="G48" s="757">
        <v>78</v>
      </c>
      <c r="H48" s="321">
        <v>1</v>
      </c>
      <c r="I48" s="321">
        <v>0.56200000000000006</v>
      </c>
      <c r="J48" s="147">
        <v>275523</v>
      </c>
      <c r="K48" s="147">
        <v>154855</v>
      </c>
      <c r="L48" s="147">
        <v>0</v>
      </c>
      <c r="M48" s="142">
        <f t="shared" si="2"/>
        <v>120668</v>
      </c>
      <c r="N48" s="138" t="s">
        <v>635</v>
      </c>
      <c r="O48" s="143">
        <f>11423728/4.8</f>
        <v>2379943.3333333335</v>
      </c>
      <c r="P48" s="758" t="s">
        <v>612</v>
      </c>
    </row>
    <row r="49" spans="1:18" s="145" customFormat="1" ht="77.25" customHeight="1">
      <c r="A49" s="750">
        <f t="shared" si="3"/>
        <v>40</v>
      </c>
      <c r="B49" s="135" t="s">
        <v>688</v>
      </c>
      <c r="C49" s="114" t="s">
        <v>41</v>
      </c>
      <c r="D49" s="137" t="s">
        <v>54</v>
      </c>
      <c r="E49" s="138" t="s">
        <v>23</v>
      </c>
      <c r="F49" s="139">
        <v>873</v>
      </c>
      <c r="G49" s="751">
        <v>77.5</v>
      </c>
      <c r="H49" s="140">
        <v>1</v>
      </c>
      <c r="I49" s="321">
        <v>0.75690000000000002</v>
      </c>
      <c r="J49" s="147">
        <v>102108</v>
      </c>
      <c r="K49" s="147">
        <v>77285</v>
      </c>
      <c r="L49" s="147">
        <v>15167</v>
      </c>
      <c r="M49" s="142">
        <f t="shared" si="2"/>
        <v>9656</v>
      </c>
      <c r="N49" s="137" t="s">
        <v>644</v>
      </c>
      <c r="O49" s="143">
        <v>55938510</v>
      </c>
      <c r="P49" s="758" t="s">
        <v>612</v>
      </c>
    </row>
    <row r="50" spans="1:18" s="145" customFormat="1" ht="151.5" customHeight="1">
      <c r="A50" s="750">
        <f t="shared" si="3"/>
        <v>41</v>
      </c>
      <c r="B50" s="135" t="s">
        <v>689</v>
      </c>
      <c r="C50" s="114" t="s">
        <v>41</v>
      </c>
      <c r="D50" s="137" t="s">
        <v>54</v>
      </c>
      <c r="E50" s="138" t="s">
        <v>23</v>
      </c>
      <c r="F50" s="139">
        <v>416</v>
      </c>
      <c r="G50" s="751">
        <v>76</v>
      </c>
      <c r="H50" s="140">
        <v>1</v>
      </c>
      <c r="I50" s="141">
        <v>3.3125</v>
      </c>
      <c r="J50" s="142">
        <v>144433</v>
      </c>
      <c r="K50" s="142">
        <v>478438</v>
      </c>
      <c r="L50" s="142">
        <v>0</v>
      </c>
      <c r="M50" s="142">
        <f t="shared" si="2"/>
        <v>-334005</v>
      </c>
      <c r="N50" s="812" t="s">
        <v>666</v>
      </c>
      <c r="O50" s="760">
        <f>377468907.56/4.8</f>
        <v>78639355.741666675</v>
      </c>
      <c r="P50" s="806" t="s">
        <v>675</v>
      </c>
    </row>
    <row r="51" spans="1:18" s="145" customFormat="1" ht="194.25" customHeight="1">
      <c r="A51" s="750">
        <f t="shared" si="3"/>
        <v>42</v>
      </c>
      <c r="B51" s="135" t="s">
        <v>690</v>
      </c>
      <c r="C51" s="114" t="s">
        <v>41</v>
      </c>
      <c r="D51" s="137" t="s">
        <v>54</v>
      </c>
      <c r="E51" s="138" t="s">
        <v>23</v>
      </c>
      <c r="F51" s="139">
        <v>417</v>
      </c>
      <c r="G51" s="751">
        <v>76</v>
      </c>
      <c r="H51" s="321">
        <v>1</v>
      </c>
      <c r="I51" s="321">
        <v>1.0265</v>
      </c>
      <c r="J51" s="147">
        <v>105746</v>
      </c>
      <c r="K51" s="147">
        <v>108551</v>
      </c>
      <c r="L51" s="147">
        <v>0</v>
      </c>
      <c r="M51" s="142">
        <f t="shared" si="2"/>
        <v>-2805</v>
      </c>
      <c r="N51" s="138" t="s">
        <v>635</v>
      </c>
      <c r="O51" s="760">
        <v>22990000</v>
      </c>
      <c r="P51" s="813" t="s">
        <v>691</v>
      </c>
    </row>
    <row r="52" spans="1:18" s="145" customFormat="1" ht="77.25" customHeight="1">
      <c r="A52" s="750">
        <f t="shared" si="3"/>
        <v>43</v>
      </c>
      <c r="B52" s="135" t="s">
        <v>692</v>
      </c>
      <c r="C52" s="114" t="s">
        <v>41</v>
      </c>
      <c r="D52" s="137" t="s">
        <v>54</v>
      </c>
      <c r="E52" s="138" t="s">
        <v>23</v>
      </c>
      <c r="F52" s="139">
        <v>364</v>
      </c>
      <c r="G52" s="751">
        <v>74</v>
      </c>
      <c r="H52" s="141">
        <v>1</v>
      </c>
      <c r="I52" s="321">
        <v>0.8538</v>
      </c>
      <c r="J52" s="142">
        <v>399935</v>
      </c>
      <c r="K52" s="142">
        <v>341463</v>
      </c>
      <c r="L52" s="142">
        <v>300</v>
      </c>
      <c r="M52" s="142">
        <f t="shared" si="2"/>
        <v>58172</v>
      </c>
      <c r="N52" s="803" t="s">
        <v>199</v>
      </c>
      <c r="O52" s="760">
        <v>539237000</v>
      </c>
      <c r="P52" s="286" t="s">
        <v>693</v>
      </c>
    </row>
    <row r="53" spans="1:18" s="145" customFormat="1" ht="77.25" customHeight="1">
      <c r="A53" s="750">
        <f t="shared" si="3"/>
        <v>44</v>
      </c>
      <c r="B53" s="135" t="s">
        <v>694</v>
      </c>
      <c r="C53" s="114" t="s">
        <v>41</v>
      </c>
      <c r="D53" s="137" t="s">
        <v>54</v>
      </c>
      <c r="E53" s="138" t="s">
        <v>23</v>
      </c>
      <c r="F53" s="139">
        <v>362</v>
      </c>
      <c r="G53" s="757">
        <v>73</v>
      </c>
      <c r="H53" s="140">
        <v>1</v>
      </c>
      <c r="I53" s="141">
        <v>0.9052</v>
      </c>
      <c r="J53" s="142">
        <v>701672</v>
      </c>
      <c r="K53" s="142">
        <v>635155</v>
      </c>
      <c r="L53" s="142">
        <v>0</v>
      </c>
      <c r="M53" s="142">
        <f t="shared" si="2"/>
        <v>66517</v>
      </c>
      <c r="N53" s="137" t="s">
        <v>630</v>
      </c>
      <c r="O53" s="801">
        <v>17</v>
      </c>
      <c r="P53" s="758" t="s">
        <v>612</v>
      </c>
    </row>
    <row r="54" spans="1:18" s="145" customFormat="1" ht="77.25" customHeight="1">
      <c r="A54" s="750">
        <f t="shared" si="3"/>
        <v>45</v>
      </c>
      <c r="B54" s="135" t="s">
        <v>695</v>
      </c>
      <c r="C54" s="114" t="s">
        <v>41</v>
      </c>
      <c r="D54" s="137" t="s">
        <v>54</v>
      </c>
      <c r="E54" s="138" t="s">
        <v>23</v>
      </c>
      <c r="F54" s="139">
        <v>354</v>
      </c>
      <c r="G54" s="751">
        <v>73</v>
      </c>
      <c r="H54" s="141">
        <v>1</v>
      </c>
      <c r="I54" s="141">
        <v>0.96389999999999998</v>
      </c>
      <c r="J54" s="142">
        <v>1069643</v>
      </c>
      <c r="K54" s="142">
        <v>1031030</v>
      </c>
      <c r="L54" s="142">
        <v>933</v>
      </c>
      <c r="M54" s="142">
        <f t="shared" si="2"/>
        <v>37680</v>
      </c>
      <c r="N54" s="812" t="s">
        <v>630</v>
      </c>
      <c r="O54" s="801">
        <v>11.2</v>
      </c>
      <c r="P54" s="758" t="s">
        <v>612</v>
      </c>
    </row>
    <row r="55" spans="1:18" s="145" customFormat="1" ht="77.25" customHeight="1">
      <c r="A55" s="750">
        <f t="shared" si="3"/>
        <v>46</v>
      </c>
      <c r="B55" s="135" t="s">
        <v>696</v>
      </c>
      <c r="C55" s="114" t="s">
        <v>41</v>
      </c>
      <c r="D55" s="137" t="s">
        <v>54</v>
      </c>
      <c r="E55" s="138" t="s">
        <v>23</v>
      </c>
      <c r="F55" s="139">
        <v>365</v>
      </c>
      <c r="G55" s="757">
        <v>71.5</v>
      </c>
      <c r="H55" s="141">
        <v>1</v>
      </c>
      <c r="I55" s="141">
        <v>0.80620000000000003</v>
      </c>
      <c r="J55" s="142">
        <v>228803</v>
      </c>
      <c r="K55" s="142">
        <v>184468</v>
      </c>
      <c r="L55" s="142">
        <v>0</v>
      </c>
      <c r="M55" s="142">
        <f t="shared" si="2"/>
        <v>44335</v>
      </c>
      <c r="N55" s="150" t="s">
        <v>630</v>
      </c>
      <c r="O55" s="143" t="s">
        <v>349</v>
      </c>
      <c r="P55" s="758" t="s">
        <v>612</v>
      </c>
    </row>
    <row r="56" spans="1:18" s="145" customFormat="1" ht="77.25" customHeight="1">
      <c r="A56" s="750">
        <f t="shared" si="3"/>
        <v>47</v>
      </c>
      <c r="B56" s="135" t="s">
        <v>697</v>
      </c>
      <c r="C56" s="114" t="s">
        <v>41</v>
      </c>
      <c r="D56" s="137" t="s">
        <v>54</v>
      </c>
      <c r="E56" s="138" t="s">
        <v>23</v>
      </c>
      <c r="F56" s="139">
        <v>395</v>
      </c>
      <c r="G56" s="751">
        <v>71</v>
      </c>
      <c r="H56" s="141">
        <v>1</v>
      </c>
      <c r="I56" s="141">
        <v>0.64029999999999998</v>
      </c>
      <c r="J56" s="142">
        <v>785961</v>
      </c>
      <c r="K56" s="142">
        <v>503257</v>
      </c>
      <c r="L56" s="142">
        <v>0</v>
      </c>
      <c r="M56" s="142">
        <f t="shared" si="2"/>
        <v>282704</v>
      </c>
      <c r="N56" s="814" t="s">
        <v>698</v>
      </c>
      <c r="O56" s="760">
        <v>45442</v>
      </c>
      <c r="P56" s="758" t="s">
        <v>699</v>
      </c>
    </row>
    <row r="57" spans="1:18" s="145" customFormat="1" ht="77.25" customHeight="1">
      <c r="A57" s="750">
        <f t="shared" si="3"/>
        <v>48</v>
      </c>
      <c r="B57" s="135" t="s">
        <v>700</v>
      </c>
      <c r="C57" s="114" t="s">
        <v>41</v>
      </c>
      <c r="D57" s="137" t="s">
        <v>101</v>
      </c>
      <c r="E57" s="138" t="s">
        <v>23</v>
      </c>
      <c r="F57" s="139" t="s">
        <v>701</v>
      </c>
      <c r="G57" s="112">
        <v>68</v>
      </c>
      <c r="H57" s="808">
        <v>1</v>
      </c>
      <c r="I57" s="808">
        <v>1</v>
      </c>
      <c r="J57" s="752">
        <v>2035626</v>
      </c>
      <c r="K57" s="752">
        <v>2035626</v>
      </c>
      <c r="L57" s="752">
        <v>0</v>
      </c>
      <c r="M57" s="142">
        <f t="shared" si="2"/>
        <v>0</v>
      </c>
      <c r="N57" s="810">
        <v>2021</v>
      </c>
      <c r="O57" s="801">
        <v>3.62</v>
      </c>
      <c r="P57" s="815" t="s">
        <v>702</v>
      </c>
    </row>
    <row r="58" spans="1:18" s="145" customFormat="1" ht="77.25" customHeight="1">
      <c r="A58" s="750">
        <f t="shared" si="3"/>
        <v>49</v>
      </c>
      <c r="B58" s="135" t="s">
        <v>703</v>
      </c>
      <c r="C58" s="114" t="s">
        <v>41</v>
      </c>
      <c r="D58" s="137" t="s">
        <v>54</v>
      </c>
      <c r="E58" s="138" t="s">
        <v>23</v>
      </c>
      <c r="F58" s="139">
        <v>413</v>
      </c>
      <c r="G58" s="751">
        <v>61</v>
      </c>
      <c r="H58" s="321">
        <v>1</v>
      </c>
      <c r="I58" s="321">
        <v>0.73340000000000005</v>
      </c>
      <c r="J58" s="142">
        <v>730162</v>
      </c>
      <c r="K58" s="142">
        <v>535521</v>
      </c>
      <c r="L58" s="142">
        <v>0</v>
      </c>
      <c r="M58" s="142">
        <f t="shared" si="2"/>
        <v>194641</v>
      </c>
      <c r="N58" s="137" t="s">
        <v>704</v>
      </c>
      <c r="O58" s="760">
        <v>75855760</v>
      </c>
      <c r="P58" s="804" t="s">
        <v>705</v>
      </c>
    </row>
    <row r="59" spans="1:18" s="145" customFormat="1" ht="192" customHeight="1">
      <c r="A59" s="750">
        <f t="shared" si="3"/>
        <v>50</v>
      </c>
      <c r="B59" s="135" t="s">
        <v>706</v>
      </c>
      <c r="C59" s="114" t="s">
        <v>41</v>
      </c>
      <c r="D59" s="137" t="s">
        <v>54</v>
      </c>
      <c r="E59" s="138" t="s">
        <v>23</v>
      </c>
      <c r="F59" s="139">
        <v>416</v>
      </c>
      <c r="G59" s="751">
        <v>59.5</v>
      </c>
      <c r="H59" s="141">
        <v>1</v>
      </c>
      <c r="I59" s="321">
        <v>0.69589999999999996</v>
      </c>
      <c r="J59" s="142">
        <v>424873</v>
      </c>
      <c r="K59" s="142">
        <v>295664</v>
      </c>
      <c r="L59" s="142">
        <v>0</v>
      </c>
      <c r="M59" s="142">
        <f t="shared" si="2"/>
        <v>129209</v>
      </c>
      <c r="N59" s="137" t="s">
        <v>635</v>
      </c>
      <c r="O59" s="143" t="s">
        <v>349</v>
      </c>
      <c r="P59" s="804" t="s">
        <v>707</v>
      </c>
    </row>
    <row r="60" spans="1:18" s="145" customFormat="1" ht="77.25" customHeight="1">
      <c r="A60" s="750">
        <f t="shared" si="3"/>
        <v>51</v>
      </c>
      <c r="B60" s="135" t="s">
        <v>708</v>
      </c>
      <c r="C60" s="114" t="s">
        <v>41</v>
      </c>
      <c r="D60" s="137" t="s">
        <v>54</v>
      </c>
      <c r="E60" s="138" t="s">
        <v>23</v>
      </c>
      <c r="F60" s="139">
        <v>352</v>
      </c>
      <c r="G60" s="751">
        <v>58</v>
      </c>
      <c r="H60" s="140">
        <v>1</v>
      </c>
      <c r="I60" s="141">
        <v>0.93630000000000002</v>
      </c>
      <c r="J60" s="142">
        <v>161835</v>
      </c>
      <c r="K60" s="142">
        <v>151533</v>
      </c>
      <c r="L60" s="142">
        <v>0</v>
      </c>
      <c r="M60" s="142">
        <f t="shared" si="2"/>
        <v>10302</v>
      </c>
      <c r="N60" s="137" t="s">
        <v>653</v>
      </c>
      <c r="O60" s="143" t="s">
        <v>349</v>
      </c>
      <c r="P60" s="758" t="s">
        <v>612</v>
      </c>
    </row>
    <row r="61" spans="1:18" ht="16.5" hidden="1" customHeight="1">
      <c r="A61" s="1224" t="s">
        <v>360</v>
      </c>
      <c r="B61" s="1224"/>
      <c r="C61" s="407">
        <f>COUNT(A10:A60)</f>
        <v>51</v>
      </c>
      <c r="D61" s="407"/>
      <c r="E61" s="407"/>
      <c r="F61" s="407"/>
      <c r="G61" s="409"/>
      <c r="H61" s="409"/>
      <c r="I61" s="409"/>
      <c r="J61" s="408">
        <f>SUM(J10:J60)</f>
        <v>31191881</v>
      </c>
      <c r="K61" s="408">
        <f>SUM(K10:K60)</f>
        <v>26441277</v>
      </c>
      <c r="L61" s="408">
        <f>SUM(L10:L60)</f>
        <v>258011</v>
      </c>
      <c r="M61" s="408">
        <f>SUM(M10:M60)</f>
        <v>4492593</v>
      </c>
      <c r="N61" s="410"/>
      <c r="O61" s="411"/>
      <c r="P61" s="412"/>
    </row>
    <row r="62" spans="1:18">
      <c r="A62" s="510"/>
      <c r="B62" s="510"/>
      <c r="C62" s="816"/>
      <c r="D62" s="816"/>
      <c r="E62" s="817"/>
      <c r="F62" s="817"/>
      <c r="G62" s="818"/>
      <c r="H62" s="819"/>
      <c r="I62" s="664"/>
      <c r="J62" s="818"/>
      <c r="K62" s="818"/>
      <c r="L62" s="818"/>
      <c r="M62" s="818"/>
      <c r="N62" s="817"/>
      <c r="O62" s="820"/>
    </row>
    <row r="63" spans="1:18" s="823" customFormat="1" ht="102.75" customHeight="1">
      <c r="A63" s="702"/>
      <c r="B63" s="562"/>
      <c r="C63" s="552"/>
      <c r="D63" s="552"/>
      <c r="E63" s="552"/>
      <c r="F63" s="552"/>
      <c r="G63" s="821"/>
      <c r="H63" s="822"/>
      <c r="I63" s="708"/>
      <c r="J63" s="562"/>
      <c r="K63" s="562"/>
      <c r="L63" s="562"/>
      <c r="M63" s="562"/>
      <c r="N63" s="820"/>
      <c r="O63" s="562"/>
      <c r="P63" s="10"/>
      <c r="R63" s="634"/>
    </row>
    <row r="64" spans="1:18" s="517" customFormat="1" hidden="1">
      <c r="A64" s="3"/>
      <c r="B64" s="562"/>
      <c r="C64" s="503"/>
      <c r="D64" s="503"/>
      <c r="E64" s="506"/>
      <c r="F64" s="503"/>
      <c r="G64" s="605"/>
      <c r="H64" s="507"/>
      <c r="I64" s="563"/>
      <c r="J64" s="1"/>
      <c r="K64" s="1"/>
      <c r="L64" s="1"/>
      <c r="M64" s="523"/>
      <c r="N64" s="564"/>
      <c r="O64" s="563"/>
      <c r="P64" s="10"/>
      <c r="R64" s="579"/>
    </row>
    <row r="65" spans="1:24" s="517" customFormat="1" hidden="1">
      <c r="A65" s="503"/>
      <c r="B65" s="504"/>
      <c r="C65" s="505"/>
      <c r="D65" s="505"/>
      <c r="E65" s="506"/>
      <c r="F65" s="507"/>
      <c r="G65" s="605"/>
      <c r="H65" s="507"/>
      <c r="I65" s="507"/>
      <c r="J65" s="509"/>
      <c r="K65" s="510"/>
      <c r="L65" s="510"/>
      <c r="M65" s="824"/>
      <c r="N65" s="825"/>
      <c r="O65" s="826"/>
      <c r="P65" s="514"/>
      <c r="Q65" s="515"/>
      <c r="R65" s="516"/>
    </row>
    <row r="66" spans="1:24" s="517" customFormat="1" hidden="1">
      <c r="A66" s="503"/>
      <c r="B66" s="504"/>
      <c r="C66" s="505"/>
      <c r="D66" s="505"/>
      <c r="E66" s="506"/>
      <c r="F66" s="507"/>
      <c r="G66" s="605"/>
      <c r="H66" s="507"/>
      <c r="I66" s="507"/>
      <c r="J66" s="509"/>
      <c r="K66" s="510"/>
      <c r="L66" s="510"/>
      <c r="M66" s="511"/>
      <c r="N66" s="512"/>
      <c r="O66" s="513"/>
      <c r="P66" s="514"/>
      <c r="Q66" s="515"/>
      <c r="R66" s="516"/>
    </row>
    <row r="67" spans="1:24" s="517" customFormat="1" ht="15" hidden="1" customHeight="1">
      <c r="A67" s="503"/>
      <c r="B67" s="504" t="s">
        <v>377</v>
      </c>
      <c r="C67" s="503"/>
      <c r="D67" s="503"/>
      <c r="E67" s="510" t="s">
        <v>378</v>
      </c>
      <c r="F67" s="510" t="s">
        <v>379</v>
      </c>
      <c r="G67" s="604" t="s">
        <v>380</v>
      </c>
      <c r="H67" s="519" t="s">
        <v>381</v>
      </c>
      <c r="I67" s="520" t="s">
        <v>382</v>
      </c>
      <c r="J67" s="521" t="s">
        <v>383</v>
      </c>
      <c r="K67" s="522"/>
      <c r="L67" s="522"/>
      <c r="M67" s="523"/>
      <c r="N67" s="524" t="s">
        <v>384</v>
      </c>
      <c r="O67" s="525" t="s">
        <v>385</v>
      </c>
      <c r="P67" s="514" t="s">
        <v>386</v>
      </c>
      <c r="Q67" s="526" t="s">
        <v>387</v>
      </c>
      <c r="R67" s="527" t="s">
        <v>388</v>
      </c>
      <c r="S67" s="528" t="s">
        <v>389</v>
      </c>
      <c r="T67" s="528" t="s">
        <v>390</v>
      </c>
      <c r="U67" s="528" t="s">
        <v>391</v>
      </c>
      <c r="V67" s="517" t="s">
        <v>392</v>
      </c>
      <c r="W67" s="517" t="s">
        <v>393</v>
      </c>
      <c r="X67" s="517" t="s">
        <v>394</v>
      </c>
    </row>
    <row r="68" spans="1:24" s="517" customFormat="1" ht="15" hidden="1" customHeight="1">
      <c r="A68" s="529">
        <v>1</v>
      </c>
      <c r="B68" s="530" t="s">
        <v>395</v>
      </c>
      <c r="C68" s="531" t="s">
        <v>41</v>
      </c>
      <c r="D68" s="531">
        <f>COUNTIF($C$10:$C$60,"MTI")</f>
        <v>49</v>
      </c>
      <c r="E68" s="532">
        <f>D68/D77</f>
        <v>0.94230769230769229</v>
      </c>
      <c r="F68" s="533">
        <f>COUNTIFS($C$10:$C$60,"MTI",$H$10:$H$60,"0,00%")</f>
        <v>1</v>
      </c>
      <c r="G68" s="827">
        <f>COUNTIFS($C$10:$C$60,"MTI",$H$10:$H$60,"&gt;0,00%")-COUNTIFS($C$10:$C$60,"MTI",$H$10:$H$60,"100,00%")</f>
        <v>0</v>
      </c>
      <c r="H68" s="535">
        <f>COUNTIFS($C$10:$C$62,"MTI",$H$10:$H$62,"100,00%")</f>
        <v>48</v>
      </c>
      <c r="I68" s="536">
        <f t="shared" ref="I68:I76" si="4">D68-F68-G68-H68</f>
        <v>0</v>
      </c>
      <c r="J68" s="537">
        <f t="shared" ref="J68:J76" si="5">F68+G68</f>
        <v>1</v>
      </c>
      <c r="K68" s="538"/>
      <c r="L68" s="538"/>
      <c r="M68" s="539" t="s">
        <v>41</v>
      </c>
      <c r="N68" s="540">
        <f t="shared" ref="N68:N76" si="6">SUMIF($C$10:$C$60,$C68,J$10:J$60)</f>
        <v>30624117</v>
      </c>
      <c r="O68" s="541">
        <f t="shared" ref="O68:O76" si="7">SUMIF($C$10:$C$60,$C68,M$10:M$60)</f>
        <v>4389802</v>
      </c>
      <c r="P68" s="542">
        <f t="shared" ref="P68:P74" si="8">I81+C81</f>
        <v>133429</v>
      </c>
      <c r="Q68" s="515">
        <f t="shared" ref="Q68:Q74" si="9">E81</f>
        <v>30490688</v>
      </c>
      <c r="R68" s="543">
        <f t="shared" ref="R68:R74" si="10">I94</f>
        <v>4282965</v>
      </c>
      <c r="S68" s="544">
        <f t="shared" ref="S68:S74" si="11">E94</f>
        <v>0</v>
      </c>
      <c r="T68" s="544">
        <f t="shared" ref="T68:T77" si="12">N68-P68-Q68</f>
        <v>0</v>
      </c>
      <c r="U68" s="544">
        <f t="shared" ref="U68:U77" si="13">O68-R68-S68</f>
        <v>106837</v>
      </c>
      <c r="V68" s="544">
        <f t="shared" ref="V68:V77" si="14">J68</f>
        <v>1</v>
      </c>
      <c r="W68" s="544">
        <f t="shared" ref="W68:W77" si="15">H68</f>
        <v>48</v>
      </c>
      <c r="X68" s="544">
        <f t="shared" ref="X68:X77" si="16">V68+W68</f>
        <v>49</v>
      </c>
    </row>
    <row r="69" spans="1:24" s="517" customFormat="1" ht="15" hidden="1" customHeight="1">
      <c r="A69" s="529">
        <v>2</v>
      </c>
      <c r="B69" s="545" t="s">
        <v>396</v>
      </c>
      <c r="C69" s="531" t="s">
        <v>60</v>
      </c>
      <c r="D69" s="531">
        <f>COUNTIF($C$10:$C$60,"MS")</f>
        <v>0</v>
      </c>
      <c r="E69" s="532">
        <f>D69/D77</f>
        <v>0</v>
      </c>
      <c r="F69" s="533">
        <f>COUNTIFS($C$10:$C$62,"MS",$H$10:$H$62,"0,00%")</f>
        <v>0</v>
      </c>
      <c r="G69" s="828">
        <f>COUNTIFS($C$11:$C$60,"MS",$H$11:$H$60,"&gt;0,00%")-COUNTIFS($C$11:$C$60,"MS",$H$11:$H$60,"100,00%")</f>
        <v>0</v>
      </c>
      <c r="H69" s="535">
        <f>COUNTIFS($C$11:$C$60,"MS",$H$11:$H$60,"100,00%")</f>
        <v>0</v>
      </c>
      <c r="I69" s="536">
        <f t="shared" si="4"/>
        <v>0</v>
      </c>
      <c r="J69" s="537">
        <f t="shared" si="5"/>
        <v>0</v>
      </c>
      <c r="K69" s="538"/>
      <c r="L69" s="538"/>
      <c r="M69" s="539" t="s">
        <v>60</v>
      </c>
      <c r="N69" s="540">
        <f t="shared" si="6"/>
        <v>0</v>
      </c>
      <c r="O69" s="541">
        <f t="shared" si="7"/>
        <v>0</v>
      </c>
      <c r="P69" s="542">
        <f t="shared" si="8"/>
        <v>0</v>
      </c>
      <c r="Q69" s="515">
        <f t="shared" si="9"/>
        <v>0</v>
      </c>
      <c r="R69" s="543">
        <f t="shared" si="10"/>
        <v>0</v>
      </c>
      <c r="S69" s="544">
        <f t="shared" si="11"/>
        <v>0</v>
      </c>
      <c r="T69" s="544">
        <f t="shared" si="12"/>
        <v>0</v>
      </c>
      <c r="U69" s="544">
        <f t="shared" si="13"/>
        <v>0</v>
      </c>
      <c r="V69" s="544">
        <f t="shared" si="14"/>
        <v>0</v>
      </c>
      <c r="W69" s="544">
        <f t="shared" si="15"/>
        <v>0</v>
      </c>
      <c r="X69" s="544">
        <f t="shared" si="16"/>
        <v>0</v>
      </c>
    </row>
    <row r="70" spans="1:24" s="517" customFormat="1" ht="15" hidden="1" customHeight="1">
      <c r="A70" s="529">
        <v>3</v>
      </c>
      <c r="B70" s="545" t="s">
        <v>397</v>
      </c>
      <c r="C70" s="531" t="s">
        <v>287</v>
      </c>
      <c r="D70" s="531">
        <f>COUNTIF($C$10:$C$60,"MJ")</f>
        <v>0</v>
      </c>
      <c r="E70" s="532">
        <f>D70/D77</f>
        <v>0</v>
      </c>
      <c r="F70" s="533">
        <f>COUNTIFS($C$11:$C$60,"MJ",$H$11:$H$60,"0,00%")</f>
        <v>0</v>
      </c>
      <c r="G70" s="828">
        <f>COUNTIFS($C$11:$C$60,"MJ",$H$11:$H$60,"&gt;0,00%")-COUNTIFS($C$11:$C$60,"MJ",$H$11:$H$60,"100,00%")</f>
        <v>0</v>
      </c>
      <c r="H70" s="535">
        <f>COUNTIFS($C$11:$C$60,"MJ",$H$11:$H$60,"100,00%")</f>
        <v>0</v>
      </c>
      <c r="I70" s="536">
        <f t="shared" si="4"/>
        <v>0</v>
      </c>
      <c r="J70" s="537">
        <f t="shared" si="5"/>
        <v>0</v>
      </c>
      <c r="K70" s="538"/>
      <c r="L70" s="538"/>
      <c r="M70" s="539" t="s">
        <v>287</v>
      </c>
      <c r="N70" s="540">
        <f t="shared" si="6"/>
        <v>0</v>
      </c>
      <c r="O70" s="541">
        <f t="shared" si="7"/>
        <v>0</v>
      </c>
      <c r="P70" s="542">
        <f t="shared" si="8"/>
        <v>0</v>
      </c>
      <c r="Q70" s="515">
        <f t="shared" si="9"/>
        <v>0</v>
      </c>
      <c r="R70" s="543">
        <f t="shared" si="10"/>
        <v>0</v>
      </c>
      <c r="S70" s="544">
        <f t="shared" si="11"/>
        <v>0</v>
      </c>
      <c r="T70" s="544">
        <f t="shared" si="12"/>
        <v>0</v>
      </c>
      <c r="U70" s="544">
        <f t="shared" si="13"/>
        <v>0</v>
      </c>
      <c r="V70" s="544">
        <f t="shared" si="14"/>
        <v>0</v>
      </c>
      <c r="W70" s="544">
        <f t="shared" si="15"/>
        <v>0</v>
      </c>
      <c r="X70" s="544">
        <f t="shared" si="16"/>
        <v>0</v>
      </c>
    </row>
    <row r="71" spans="1:24" s="517" customFormat="1" ht="15" hidden="1" customHeight="1">
      <c r="A71" s="529">
        <v>4</v>
      </c>
      <c r="B71" s="547" t="s">
        <v>398</v>
      </c>
      <c r="C71" s="548" t="s">
        <v>107</v>
      </c>
      <c r="D71" s="531">
        <f>COUNTIF($C$10:$C$60,"MDLPA")</f>
        <v>0</v>
      </c>
      <c r="E71" s="532">
        <f>D71/D77</f>
        <v>0</v>
      </c>
      <c r="F71" s="533">
        <f>COUNTIFS($C$11:$C$60,"MDLPA",$H$11:$H$60,"0,00%")</f>
        <v>0</v>
      </c>
      <c r="G71" s="828">
        <f>COUNTIFS($C$11:$C$60,"MDLPA",$H$11:$H$60,"&gt;0,00%")-COUNTIFS($C$11:$C$60,"MDLPA",$H$11:$H$60,"100,00%")</f>
        <v>0</v>
      </c>
      <c r="H71" s="535">
        <f>COUNTIFS($C$11:$C$60,"MDLPA",$H$11:$H$60,"100,00%")</f>
        <v>0</v>
      </c>
      <c r="I71" s="536">
        <f t="shared" si="4"/>
        <v>0</v>
      </c>
      <c r="J71" s="537">
        <f t="shared" si="5"/>
        <v>0</v>
      </c>
      <c r="K71" s="538"/>
      <c r="L71" s="538"/>
      <c r="M71" s="548" t="s">
        <v>107</v>
      </c>
      <c r="N71" s="540">
        <f t="shared" si="6"/>
        <v>0</v>
      </c>
      <c r="O71" s="541">
        <f t="shared" si="7"/>
        <v>0</v>
      </c>
      <c r="P71" s="542">
        <f t="shared" si="8"/>
        <v>0</v>
      </c>
      <c r="Q71" s="515">
        <f t="shared" si="9"/>
        <v>0</v>
      </c>
      <c r="R71" s="543">
        <f t="shared" si="10"/>
        <v>0</v>
      </c>
      <c r="S71" s="544">
        <f t="shared" si="11"/>
        <v>0</v>
      </c>
      <c r="T71" s="544">
        <f t="shared" si="12"/>
        <v>0</v>
      </c>
      <c r="U71" s="544">
        <f t="shared" si="13"/>
        <v>0</v>
      </c>
      <c r="V71" s="544">
        <f t="shared" si="14"/>
        <v>0</v>
      </c>
      <c r="W71" s="544">
        <f t="shared" si="15"/>
        <v>0</v>
      </c>
      <c r="X71" s="544">
        <f t="shared" si="16"/>
        <v>0</v>
      </c>
    </row>
    <row r="72" spans="1:24" s="517" customFormat="1" ht="15" hidden="1" customHeight="1">
      <c r="A72" s="529">
        <v>5</v>
      </c>
      <c r="B72" s="545" t="s">
        <v>399</v>
      </c>
      <c r="C72" s="549" t="s">
        <v>21</v>
      </c>
      <c r="D72" s="531">
        <f>COUNTIF($C$10:$C$60,"MMAP")</f>
        <v>1</v>
      </c>
      <c r="E72" s="532">
        <f>D72/D77</f>
        <v>1.9230769230769232E-2</v>
      </c>
      <c r="F72" s="533">
        <f>COUNTIFS($C$10:$C$60,"MMAP",$H$10:$H$60,"0,00%")</f>
        <v>0</v>
      </c>
      <c r="G72" s="828">
        <f>COUNTIFS($C$10:$C$60,"MMAP",$H$10:$H$60,"&gt;0,00%")-COUNTIFS($C$10:$C$60,"MMAP",$H$10:$H$60,"100,00%")</f>
        <v>0</v>
      </c>
      <c r="H72" s="535">
        <f>COUNTIFS($C$11:$C$60,"MMAP",$H$11:$H$60,"100,00%")</f>
        <v>1</v>
      </c>
      <c r="I72" s="536">
        <f t="shared" si="4"/>
        <v>0</v>
      </c>
      <c r="J72" s="537">
        <f t="shared" si="5"/>
        <v>0</v>
      </c>
      <c r="K72" s="538"/>
      <c r="L72" s="538"/>
      <c r="M72" s="550" t="s">
        <v>21</v>
      </c>
      <c r="N72" s="540">
        <f t="shared" si="6"/>
        <v>233538</v>
      </c>
      <c r="O72" s="541">
        <f t="shared" si="7"/>
        <v>101963</v>
      </c>
      <c r="P72" s="542">
        <f t="shared" si="8"/>
        <v>0</v>
      </c>
      <c r="Q72" s="515">
        <f t="shared" si="9"/>
        <v>233538</v>
      </c>
      <c r="R72" s="543">
        <f t="shared" si="10"/>
        <v>0</v>
      </c>
      <c r="S72" s="544">
        <f t="shared" si="11"/>
        <v>101963</v>
      </c>
      <c r="T72" s="544">
        <f t="shared" si="12"/>
        <v>0</v>
      </c>
      <c r="U72" s="544">
        <f t="shared" si="13"/>
        <v>0</v>
      </c>
      <c r="V72" s="544">
        <f t="shared" si="14"/>
        <v>0</v>
      </c>
      <c r="W72" s="544">
        <f t="shared" si="15"/>
        <v>1</v>
      </c>
      <c r="X72" s="544">
        <f t="shared" si="16"/>
        <v>1</v>
      </c>
    </row>
    <row r="73" spans="1:24" s="517" customFormat="1" ht="15" hidden="1" customHeight="1">
      <c r="A73" s="529">
        <v>6</v>
      </c>
      <c r="B73" s="545" t="s">
        <v>400</v>
      </c>
      <c r="C73" s="551" t="s">
        <v>401</v>
      </c>
      <c r="D73" s="531">
        <f>COUNTIF($C$10:$C$60,"MEEMA")</f>
        <v>0</v>
      </c>
      <c r="E73" s="532">
        <f>D73/D77</f>
        <v>0</v>
      </c>
      <c r="F73" s="533">
        <f>COUNTIFS($C$11:$C$60,"ME",$H$11:$H$60,"0,00%")</f>
        <v>0</v>
      </c>
      <c r="G73" s="828">
        <f>COUNTIFS($C$11:$C$60,"ME",$H$11:$H$60,"&gt;0,00%")-COUNTIFS($C$11:$C$60,"ME",$H$11:$H$60,"100,00%")</f>
        <v>0</v>
      </c>
      <c r="H73" s="535">
        <f>COUNTIFS($C$11:$C$60,"ME",$H$11:$H$60,"100,00%")</f>
        <v>0</v>
      </c>
      <c r="I73" s="536">
        <f t="shared" si="4"/>
        <v>0</v>
      </c>
      <c r="J73" s="537">
        <f t="shared" si="5"/>
        <v>0</v>
      </c>
      <c r="K73" s="538"/>
      <c r="L73" s="538"/>
      <c r="M73" s="539" t="s">
        <v>401</v>
      </c>
      <c r="N73" s="540">
        <f t="shared" si="6"/>
        <v>0</v>
      </c>
      <c r="O73" s="541">
        <f t="shared" si="7"/>
        <v>0</v>
      </c>
      <c r="P73" s="542">
        <f t="shared" si="8"/>
        <v>0</v>
      </c>
      <c r="Q73" s="515">
        <f t="shared" si="9"/>
        <v>0</v>
      </c>
      <c r="R73" s="543">
        <f t="shared" si="10"/>
        <v>0</v>
      </c>
      <c r="S73" s="544">
        <f t="shared" si="11"/>
        <v>0</v>
      </c>
      <c r="T73" s="544">
        <f t="shared" si="12"/>
        <v>0</v>
      </c>
      <c r="U73" s="544">
        <f t="shared" si="13"/>
        <v>0</v>
      </c>
      <c r="V73" s="544">
        <f t="shared" si="14"/>
        <v>0</v>
      </c>
      <c r="W73" s="544">
        <f t="shared" si="15"/>
        <v>0</v>
      </c>
      <c r="X73" s="544">
        <f t="shared" si="16"/>
        <v>0</v>
      </c>
    </row>
    <row r="74" spans="1:24" s="517" customFormat="1" ht="15" hidden="1" customHeight="1">
      <c r="A74" s="529">
        <v>7</v>
      </c>
      <c r="B74" s="545" t="s">
        <v>402</v>
      </c>
      <c r="C74" s="531" t="s">
        <v>57</v>
      </c>
      <c r="D74" s="531">
        <f>COUNTIF($C$10:$C$60,"MCID")</f>
        <v>1</v>
      </c>
      <c r="E74" s="532">
        <f>D74/D77</f>
        <v>1.9230769230769232E-2</v>
      </c>
      <c r="F74" s="533">
        <f>COUNTIFS($C$10:$C$60,"MCID",$H$10:$H$60,"0,00%")</f>
        <v>0</v>
      </c>
      <c r="G74" s="828">
        <f>COUNTIFS($C$10:$C$60,"MCID",$H$10:$H$60,"&gt;0,00%")-COUNTIFS($C$10:$C$60,"MCID",$H$10:$H$60,"100,00%")</f>
        <v>0</v>
      </c>
      <c r="H74" s="535">
        <f>COUNTIFS($C$11:$C$60,"MCID",$H$11:$H$60,"100,00%")</f>
        <v>1</v>
      </c>
      <c r="I74" s="536">
        <f t="shared" si="4"/>
        <v>0</v>
      </c>
      <c r="J74" s="537">
        <f t="shared" si="5"/>
        <v>0</v>
      </c>
      <c r="K74" s="538"/>
      <c r="L74" s="538"/>
      <c r="M74" s="539" t="s">
        <v>57</v>
      </c>
      <c r="N74" s="540">
        <f t="shared" si="6"/>
        <v>334226</v>
      </c>
      <c r="O74" s="541">
        <f t="shared" si="7"/>
        <v>828</v>
      </c>
      <c r="P74" s="542">
        <f t="shared" si="8"/>
        <v>0</v>
      </c>
      <c r="Q74" s="515">
        <f t="shared" si="9"/>
        <v>334226</v>
      </c>
      <c r="R74" s="543">
        <f t="shared" si="10"/>
        <v>828</v>
      </c>
      <c r="S74" s="544">
        <f t="shared" si="11"/>
        <v>0</v>
      </c>
      <c r="T74" s="544">
        <f t="shared" si="12"/>
        <v>0</v>
      </c>
      <c r="U74" s="544">
        <f t="shared" si="13"/>
        <v>0</v>
      </c>
      <c r="V74" s="544">
        <f t="shared" si="14"/>
        <v>0</v>
      </c>
      <c r="W74" s="544">
        <f t="shared" si="15"/>
        <v>1</v>
      </c>
      <c r="X74" s="544">
        <f t="shared" si="16"/>
        <v>1</v>
      </c>
    </row>
    <row r="75" spans="1:24" s="517" customFormat="1" ht="15" hidden="1" customHeight="1">
      <c r="A75" s="529">
        <v>8</v>
      </c>
      <c r="B75" s="545" t="s">
        <v>38</v>
      </c>
      <c r="C75" s="531" t="s">
        <v>38</v>
      </c>
      <c r="D75" s="531">
        <v>1</v>
      </c>
      <c r="E75" s="532">
        <f>D75/D77</f>
        <v>1.9230769230769232E-2</v>
      </c>
      <c r="F75" s="533">
        <f>COUNTIFS($C$10:$C$60,"SPP",$H$10:$H$60,"0,00%")</f>
        <v>0</v>
      </c>
      <c r="G75" s="828">
        <f>COUNTIFS($C$10:$C$60,"SPP",$H$10:$H$60,"&gt;0,00%")-COUNTIFS($C$10:$C$60,"SPP",$H$10:$H$60,"100,00%")</f>
        <v>0</v>
      </c>
      <c r="H75" s="535">
        <f>COUNTIFS($C$10:$C$60,"SPP",$H$10:$H$60,"100,00%")</f>
        <v>0</v>
      </c>
      <c r="I75" s="536">
        <f t="shared" si="4"/>
        <v>1</v>
      </c>
      <c r="J75" s="537">
        <f t="shared" si="5"/>
        <v>0</v>
      </c>
      <c r="K75" s="538"/>
      <c r="L75" s="538"/>
      <c r="M75" s="539" t="s">
        <v>38</v>
      </c>
      <c r="N75" s="540">
        <f t="shared" si="6"/>
        <v>0</v>
      </c>
      <c r="O75" s="541">
        <f t="shared" si="7"/>
        <v>0</v>
      </c>
      <c r="P75" s="542">
        <f>I89+C89</f>
        <v>0</v>
      </c>
      <c r="Q75" s="515">
        <f>E89</f>
        <v>0</v>
      </c>
      <c r="R75" s="543">
        <f>I102</f>
        <v>-106837</v>
      </c>
      <c r="S75" s="544">
        <f>E102</f>
        <v>0</v>
      </c>
      <c r="T75" s="544">
        <f t="shared" si="12"/>
        <v>0</v>
      </c>
      <c r="U75" s="544">
        <f t="shared" si="13"/>
        <v>106837</v>
      </c>
      <c r="V75" s="544">
        <f t="shared" si="14"/>
        <v>0</v>
      </c>
      <c r="W75" s="544">
        <f t="shared" si="15"/>
        <v>0</v>
      </c>
      <c r="X75" s="544">
        <f t="shared" si="16"/>
        <v>0</v>
      </c>
    </row>
    <row r="76" spans="1:24" s="517" customFormat="1" ht="15" hidden="1" customHeight="1">
      <c r="A76" s="529">
        <v>9</v>
      </c>
      <c r="B76" s="545" t="s">
        <v>403</v>
      </c>
      <c r="C76" s="531" t="s">
        <v>223</v>
      </c>
      <c r="D76" s="531">
        <f>COUNTIF($C$10:$C$60,"MApN")</f>
        <v>0</v>
      </c>
      <c r="E76" s="532">
        <f>D76/D77</f>
        <v>0</v>
      </c>
      <c r="F76" s="533">
        <f>COUNTIFS($C$10:$C$60,"MApN",$H$10:$H$60,"0,00%")</f>
        <v>0</v>
      </c>
      <c r="G76" s="828">
        <f>COUNTIFS($C$11:$C$60,"MApN",$H$11:$H$60,"&gt;0,00%")-COUNTIFS($C$11:$C$60,"MApN",$H$11:$H$60,"100,00%")</f>
        <v>0</v>
      </c>
      <c r="H76" s="535">
        <f>COUNTIFS($C$10:$C$60,"MApN",$H$10:$H$60,"100,00%")</f>
        <v>0</v>
      </c>
      <c r="I76" s="536">
        <f t="shared" si="4"/>
        <v>0</v>
      </c>
      <c r="J76" s="537">
        <f t="shared" si="5"/>
        <v>0</v>
      </c>
      <c r="K76" s="538"/>
      <c r="L76" s="538"/>
      <c r="M76" s="539" t="str">
        <f>C76</f>
        <v>MApN</v>
      </c>
      <c r="N76" s="540">
        <f t="shared" si="6"/>
        <v>0</v>
      </c>
      <c r="O76" s="541">
        <f t="shared" si="7"/>
        <v>0</v>
      </c>
      <c r="P76" s="542">
        <f>I89+C89</f>
        <v>0</v>
      </c>
      <c r="Q76" s="515">
        <f>E89</f>
        <v>0</v>
      </c>
      <c r="R76" s="543">
        <f>I102</f>
        <v>-106837</v>
      </c>
      <c r="S76" s="544">
        <f>E102</f>
        <v>0</v>
      </c>
      <c r="T76" s="544">
        <f t="shared" si="12"/>
        <v>0</v>
      </c>
      <c r="U76" s="544">
        <f t="shared" si="13"/>
        <v>106837</v>
      </c>
      <c r="V76" s="544">
        <f t="shared" si="14"/>
        <v>0</v>
      </c>
      <c r="W76" s="544">
        <f t="shared" si="15"/>
        <v>0</v>
      </c>
      <c r="X76" s="544">
        <f t="shared" si="16"/>
        <v>0</v>
      </c>
    </row>
    <row r="77" spans="1:24" s="517" customFormat="1" ht="15" hidden="1" customHeight="1">
      <c r="A77" s="503"/>
      <c r="B77" s="552"/>
      <c r="C77" s="503"/>
      <c r="D77" s="553">
        <f>SUM(D68:D76)</f>
        <v>52</v>
      </c>
      <c r="E77" s="554">
        <f>SUM(E68:E76)</f>
        <v>1</v>
      </c>
      <c r="F77" s="555">
        <f>SUM(F68:F76)</f>
        <v>1</v>
      </c>
      <c r="G77" s="829">
        <f>SUM(G68:G76)</f>
        <v>0</v>
      </c>
      <c r="H77" s="555">
        <f>SUM(H68:H76)</f>
        <v>50</v>
      </c>
      <c r="I77" s="557"/>
      <c r="J77" s="537">
        <f>SUM(J68:J76)</f>
        <v>1</v>
      </c>
      <c r="K77" s="558"/>
      <c r="L77" s="558"/>
      <c r="M77" s="559"/>
      <c r="N77" s="560">
        <f>SUM(N68:N76)</f>
        <v>31191881</v>
      </c>
      <c r="O77" s="561">
        <f>SUM(O68:O76)</f>
        <v>4492593</v>
      </c>
      <c r="P77" s="542">
        <f>I90+C90</f>
        <v>133429</v>
      </c>
      <c r="Q77" s="515">
        <f>E90</f>
        <v>31058452</v>
      </c>
      <c r="R77" s="543">
        <f>I103</f>
        <v>4176956</v>
      </c>
      <c r="S77" s="544">
        <f>E103</f>
        <v>101963</v>
      </c>
      <c r="T77" s="544">
        <f t="shared" si="12"/>
        <v>0</v>
      </c>
      <c r="U77" s="544">
        <f t="shared" si="13"/>
        <v>213674</v>
      </c>
      <c r="V77" s="544">
        <f t="shared" si="14"/>
        <v>1</v>
      </c>
      <c r="W77" s="544">
        <f t="shared" si="15"/>
        <v>50</v>
      </c>
      <c r="X77" s="544">
        <f t="shared" si="16"/>
        <v>51</v>
      </c>
    </row>
    <row r="78" spans="1:24" s="517" customFormat="1" ht="15" hidden="1" customHeight="1">
      <c r="A78" s="3"/>
      <c r="B78" s="562"/>
      <c r="C78" s="503"/>
      <c r="D78" s="503"/>
      <c r="E78" s="507">
        <f>F77+G77+H77</f>
        <v>51</v>
      </c>
      <c r="F78" s="507"/>
      <c r="G78" s="605"/>
      <c r="H78" s="507"/>
      <c r="I78" s="563"/>
      <c r="J78" s="564"/>
      <c r="K78" s="564"/>
      <c r="L78" s="564"/>
      <c r="M78" s="1" t="s">
        <v>404</v>
      </c>
      <c r="N78" s="565">
        <f>J61-N77</f>
        <v>0</v>
      </c>
      <c r="O78" s="566">
        <f>M61-O77</f>
        <v>0</v>
      </c>
      <c r="P78" s="1216">
        <f>P77+Q77</f>
        <v>31191881</v>
      </c>
      <c r="Q78" s="1216"/>
      <c r="R78" s="1217">
        <f>R77+S77</f>
        <v>4278919</v>
      </c>
      <c r="S78" s="1217"/>
    </row>
    <row r="79" spans="1:24" s="517" customFormat="1" ht="15" hidden="1" customHeight="1">
      <c r="A79" s="3"/>
      <c r="B79" s="562"/>
      <c r="C79" s="503"/>
      <c r="D79" s="503"/>
      <c r="E79" s="507"/>
      <c r="F79" s="507"/>
      <c r="G79" s="605"/>
      <c r="H79" s="507"/>
      <c r="I79" s="563"/>
      <c r="J79" s="564"/>
      <c r="K79" s="564"/>
      <c r="L79" s="564"/>
      <c r="M79" s="506"/>
      <c r="N79" s="567" t="s">
        <v>405</v>
      </c>
      <c r="O79" s="567" t="s">
        <v>406</v>
      </c>
      <c r="P79" s="568"/>
      <c r="Q79" s="569"/>
      <c r="R79" s="570"/>
      <c r="S79" s="570"/>
    </row>
    <row r="80" spans="1:24" s="517" customFormat="1" ht="15" hidden="1" customHeight="1">
      <c r="A80" s="3"/>
      <c r="B80" s="504" t="s">
        <v>407</v>
      </c>
      <c r="C80" s="571" t="s">
        <v>408</v>
      </c>
      <c r="D80" s="572"/>
      <c r="E80" s="573" t="s">
        <v>409</v>
      </c>
      <c r="F80" s="574" t="s">
        <v>410</v>
      </c>
      <c r="G80" s="519" t="s">
        <v>411</v>
      </c>
      <c r="H80" s="575" t="s">
        <v>412</v>
      </c>
      <c r="I80" s="576" t="s">
        <v>413</v>
      </c>
      <c r="J80" s="577"/>
      <c r="K80" s="577"/>
      <c r="L80" s="577"/>
      <c r="M80" s="506"/>
      <c r="N80" s="578"/>
      <c r="O80" s="578"/>
      <c r="P80" s="10"/>
      <c r="R80" s="579"/>
    </row>
    <row r="81" spans="1:23" s="517" customFormat="1" ht="15" hidden="1" customHeight="1">
      <c r="A81" s="3"/>
      <c r="B81" s="580" t="s">
        <v>41</v>
      </c>
      <c r="C81" s="581">
        <f>SUMIFS($J$10:$J$62,$C$10:$C$62,"MTI",$H$10:$H$62,"0,00%")</f>
        <v>133429</v>
      </c>
      <c r="D81" s="581"/>
      <c r="E81" s="582">
        <f>SUMIFS($J$10:$J$60,$C$10:$C$60,"MTI",$H$10:$H$60,"100,00%")</f>
        <v>30490688</v>
      </c>
      <c r="F81" s="583">
        <f t="shared" ref="F81:F89" si="17">C81+E81</f>
        <v>30624117</v>
      </c>
      <c r="G81" s="830">
        <f t="shared" ref="G81:G89" si="18">N68</f>
        <v>30624117</v>
      </c>
      <c r="H81" s="585">
        <f t="shared" ref="H81:H89" si="19">G81-F81-I81</f>
        <v>0</v>
      </c>
      <c r="I81" s="576">
        <f t="shared" ref="I81:I89" si="20">G81-F81</f>
        <v>0</v>
      </c>
      <c r="J81" s="577"/>
      <c r="K81" s="577"/>
      <c r="L81" s="577"/>
      <c r="M81" s="586" t="s">
        <v>41</v>
      </c>
      <c r="N81" s="587">
        <f t="shared" ref="N81:N86" si="21">N68/$N$77</f>
        <v>0.9817976992153824</v>
      </c>
      <c r="O81" s="587">
        <f t="shared" ref="O81:O89" si="22">O68/$O$77</f>
        <v>0.97711989490256512</v>
      </c>
      <c r="P81" s="10"/>
      <c r="Q81" s="1218" t="s">
        <v>414</v>
      </c>
      <c r="R81" s="1218"/>
      <c r="S81" s="1218"/>
      <c r="T81" s="589" t="e">
        <f>T83+T89+T93+T98+T104+T109</f>
        <v>#REF!</v>
      </c>
    </row>
    <row r="82" spans="1:23" s="517" customFormat="1" ht="15" hidden="1" customHeight="1">
      <c r="A82" s="3"/>
      <c r="B82" s="539" t="s">
        <v>60</v>
      </c>
      <c r="C82" s="581">
        <f>SUMIFS($J$10:$J$60,$C$10:$C$60,"MS",$H$10:$H$60,"0,00%")</f>
        <v>0</v>
      </c>
      <c r="D82" s="581"/>
      <c r="E82" s="582">
        <f>SUMIFS($J$10:$J$60,$C$10:$C$60,"MS",$H$10:$H$60,"100,00%")</f>
        <v>0</v>
      </c>
      <c r="F82" s="583">
        <f t="shared" si="17"/>
        <v>0</v>
      </c>
      <c r="G82" s="830">
        <f t="shared" si="18"/>
        <v>0</v>
      </c>
      <c r="H82" s="585">
        <f t="shared" si="19"/>
        <v>0</v>
      </c>
      <c r="I82" s="576">
        <f t="shared" si="20"/>
        <v>0</v>
      </c>
      <c r="J82" s="590"/>
      <c r="K82" s="590"/>
      <c r="L82" s="590"/>
      <c r="M82" s="591" t="s">
        <v>60</v>
      </c>
      <c r="N82" s="587">
        <f t="shared" si="21"/>
        <v>0</v>
      </c>
      <c r="O82" s="587">
        <f t="shared" si="22"/>
        <v>0</v>
      </c>
      <c r="P82" s="10"/>
      <c r="Q82" s="592" t="s">
        <v>415</v>
      </c>
      <c r="R82" s="589" t="s">
        <v>416</v>
      </c>
      <c r="S82" s="589" t="s">
        <v>417</v>
      </c>
      <c r="T82" s="588" t="s">
        <v>418</v>
      </c>
    </row>
    <row r="83" spans="1:23" s="517" customFormat="1" ht="15" hidden="1" customHeight="1">
      <c r="A83" s="3"/>
      <c r="B83" s="539" t="s">
        <v>287</v>
      </c>
      <c r="C83" s="581">
        <f>SUMIFS($J$10:$J$60,$C$10:$C$60,"MJ",$H$10:$H$60,"0,00%")</f>
        <v>0</v>
      </c>
      <c r="D83" s="581"/>
      <c r="E83" s="582">
        <f>SUMIFS($J$10:$J$60,$C$10:$C$60,"MJ",$H$10:$H$60,"100,00%")</f>
        <v>0</v>
      </c>
      <c r="F83" s="583">
        <f t="shared" si="17"/>
        <v>0</v>
      </c>
      <c r="G83" s="830">
        <f t="shared" si="18"/>
        <v>0</v>
      </c>
      <c r="H83" s="585">
        <f t="shared" si="19"/>
        <v>0</v>
      </c>
      <c r="I83" s="576">
        <f t="shared" si="20"/>
        <v>0</v>
      </c>
      <c r="J83" s="590"/>
      <c r="K83" s="590"/>
      <c r="L83" s="590"/>
      <c r="M83" s="591" t="s">
        <v>287</v>
      </c>
      <c r="N83" s="587">
        <f t="shared" si="21"/>
        <v>0</v>
      </c>
      <c r="O83" s="587">
        <f t="shared" si="22"/>
        <v>0</v>
      </c>
      <c r="P83" s="10"/>
      <c r="Q83" s="593" t="s">
        <v>419</v>
      </c>
      <c r="R83" s="594" t="e">
        <f>SUMIF(#REF!,#REF!,J$10:J$60)</f>
        <v>#REF!</v>
      </c>
      <c r="S83" s="595" t="e">
        <f>SUMIF(#REF!,#REF!,M$10:M$60)</f>
        <v>#REF!</v>
      </c>
      <c r="T83" s="589" t="e">
        <f>COUNTIF(#REF!,"S.C. Metrorex S.A.")</f>
        <v>#REF!</v>
      </c>
    </row>
    <row r="84" spans="1:23" s="517" customFormat="1" ht="15" hidden="1" customHeight="1">
      <c r="A84" s="3"/>
      <c r="B84" s="548" t="s">
        <v>107</v>
      </c>
      <c r="C84" s="581">
        <f>SUMIFS($J$10:$J$60,$C$10:$C$60,"MDLPA",$H$10:$H$60,"0,00%")</f>
        <v>0</v>
      </c>
      <c r="D84" s="581"/>
      <c r="E84" s="582">
        <f>SUMIFS($J$10:$J$60,$C$10:$C$60,"MDLPA",$H$10:$H$60,"100,00%")</f>
        <v>0</v>
      </c>
      <c r="F84" s="583">
        <f t="shared" si="17"/>
        <v>0</v>
      </c>
      <c r="G84" s="830">
        <f t="shared" si="18"/>
        <v>0</v>
      </c>
      <c r="H84" s="585">
        <f t="shared" si="19"/>
        <v>0</v>
      </c>
      <c r="I84" s="576">
        <f t="shared" si="20"/>
        <v>0</v>
      </c>
      <c r="J84" s="590"/>
      <c r="K84" s="590"/>
      <c r="L84" s="590"/>
      <c r="M84" s="591" t="s">
        <v>107</v>
      </c>
      <c r="N84" s="587">
        <f t="shared" si="21"/>
        <v>0</v>
      </c>
      <c r="O84" s="587">
        <f t="shared" si="22"/>
        <v>0</v>
      </c>
      <c r="P84" s="10"/>
      <c r="Q84" s="593" t="s">
        <v>420</v>
      </c>
      <c r="R84" s="594">
        <f>'[1]Anexa 3 iulie 2018'!$I$11</f>
        <v>15812492</v>
      </c>
      <c r="S84" s="595">
        <f>'[1]Anexa 3 iulie 2018'!$M$11</f>
        <v>10083369</v>
      </c>
      <c r="T84" s="589"/>
    </row>
    <row r="85" spans="1:23" s="517" customFormat="1" ht="15" hidden="1" customHeight="1">
      <c r="A85" s="3"/>
      <c r="B85" s="550" t="s">
        <v>21</v>
      </c>
      <c r="C85" s="581">
        <f>SUMIFS($J$10:$J$60,$C$10:$C$60,"MMAP",$H$10:$H$60,"0,00%")</f>
        <v>0</v>
      </c>
      <c r="D85" s="581"/>
      <c r="E85" s="582">
        <f>SUMIFS($J$10:$J$60,$C$10:$C$60,"MMAP",$H$10:$H$60,"100,00%")</f>
        <v>233538</v>
      </c>
      <c r="F85" s="583">
        <f t="shared" si="17"/>
        <v>233538</v>
      </c>
      <c r="G85" s="830">
        <f t="shared" si="18"/>
        <v>233538</v>
      </c>
      <c r="H85" s="585">
        <f t="shared" si="19"/>
        <v>0</v>
      </c>
      <c r="I85" s="576">
        <f t="shared" si="20"/>
        <v>0</v>
      </c>
      <c r="J85" s="590"/>
      <c r="K85" s="590"/>
      <c r="L85" s="590"/>
      <c r="M85" s="596" t="s">
        <v>21</v>
      </c>
      <c r="N85" s="587">
        <f t="shared" si="21"/>
        <v>7.487140644066961E-3</v>
      </c>
      <c r="O85" s="587">
        <f t="shared" si="22"/>
        <v>2.2695801734098769E-2</v>
      </c>
      <c r="P85" s="10"/>
      <c r="Q85" s="593" t="s">
        <v>421</v>
      </c>
      <c r="R85" s="594" t="e">
        <f>R83-R84</f>
        <v>#REF!</v>
      </c>
      <c r="S85" s="594" t="e">
        <f>S83-S84</f>
        <v>#REF!</v>
      </c>
      <c r="T85" s="589"/>
    </row>
    <row r="86" spans="1:23" s="517" customFormat="1" ht="15" hidden="1" customHeight="1">
      <c r="A86" s="3"/>
      <c r="B86" s="539" t="s">
        <v>401</v>
      </c>
      <c r="C86" s="581">
        <f>SUMIFS($J$10:$J$60,$C$10:$C$60,"ME",$H$10:$H$60,"0,00%")</f>
        <v>0</v>
      </c>
      <c r="D86" s="581"/>
      <c r="E86" s="582">
        <f>SUMIFS($J$11:$J$60,$C$11:$C$60,"ME",$H$11:$H$60,"100,00%")</f>
        <v>0</v>
      </c>
      <c r="F86" s="583">
        <f t="shared" si="17"/>
        <v>0</v>
      </c>
      <c r="G86" s="830">
        <f t="shared" si="18"/>
        <v>0</v>
      </c>
      <c r="H86" s="585">
        <f t="shared" si="19"/>
        <v>0</v>
      </c>
      <c r="I86" s="576">
        <f t="shared" si="20"/>
        <v>0</v>
      </c>
      <c r="J86" s="590"/>
      <c r="K86" s="590"/>
      <c r="L86" s="590"/>
      <c r="M86" s="591" t="s">
        <v>401</v>
      </c>
      <c r="N86" s="587">
        <f t="shared" si="21"/>
        <v>0</v>
      </c>
      <c r="O86" s="587">
        <f t="shared" si="22"/>
        <v>0</v>
      </c>
      <c r="P86" s="10"/>
      <c r="Q86" s="593"/>
      <c r="R86" s="589"/>
      <c r="S86" s="595"/>
      <c r="T86" s="589"/>
    </row>
    <row r="87" spans="1:23" s="517" customFormat="1" ht="15" hidden="1" customHeight="1">
      <c r="A87" s="3"/>
      <c r="B87" s="539" t="s">
        <v>57</v>
      </c>
      <c r="C87" s="581">
        <f>SUMIFS($J$10:$J$60,$C$10:$C$60,"MCID",$H$10:$H$60,"0,00%")</f>
        <v>0</v>
      </c>
      <c r="D87" s="581"/>
      <c r="E87" s="582">
        <f>SUMIFS($J$10:$J$60,$C$10:$C$60,"MCID",$H$10:$H$60,"100,00%")</f>
        <v>334226</v>
      </c>
      <c r="F87" s="583">
        <f t="shared" si="17"/>
        <v>334226</v>
      </c>
      <c r="G87" s="830">
        <f t="shared" si="18"/>
        <v>334226</v>
      </c>
      <c r="H87" s="585">
        <f t="shared" si="19"/>
        <v>0</v>
      </c>
      <c r="I87" s="576">
        <f t="shared" si="20"/>
        <v>0</v>
      </c>
      <c r="J87" s="590"/>
      <c r="K87" s="590"/>
      <c r="L87" s="590"/>
      <c r="M87" s="591" t="s">
        <v>38</v>
      </c>
      <c r="N87" s="587">
        <f>N75/$N$77</f>
        <v>0</v>
      </c>
      <c r="O87" s="587">
        <f t="shared" si="22"/>
        <v>1.8430336333605113E-4</v>
      </c>
      <c r="P87" s="10"/>
      <c r="Q87" s="592" t="s">
        <v>422</v>
      </c>
      <c r="R87" s="595" t="s">
        <v>423</v>
      </c>
      <c r="S87" s="595" t="s">
        <v>424</v>
      </c>
      <c r="T87" s="589"/>
      <c r="U87" s="517" t="s">
        <v>425</v>
      </c>
      <c r="V87" s="517" t="s">
        <v>426</v>
      </c>
      <c r="W87" s="517" t="s">
        <v>427</v>
      </c>
    </row>
    <row r="88" spans="1:23" s="517" customFormat="1" ht="15" hidden="1" customHeight="1">
      <c r="A88" s="3"/>
      <c r="B88" s="597" t="s">
        <v>38</v>
      </c>
      <c r="C88" s="581">
        <f>SUMIFS($J$10:$J$60,$C$10:$C$60,"SPP",$H$10:$H$60,"0,00%")</f>
        <v>0</v>
      </c>
      <c r="D88" s="598"/>
      <c r="E88" s="582">
        <f>SUMIFS($J$10:$J$60,$C$10:$C$60,"SPP",$H$10:$H$60,"100,00%")</f>
        <v>0</v>
      </c>
      <c r="F88" s="583">
        <f t="shared" si="17"/>
        <v>0</v>
      </c>
      <c r="G88" s="830">
        <f t="shared" si="18"/>
        <v>0</v>
      </c>
      <c r="H88" s="585">
        <f t="shared" si="19"/>
        <v>0</v>
      </c>
      <c r="I88" s="576">
        <f t="shared" si="20"/>
        <v>0</v>
      </c>
      <c r="J88" s="590"/>
      <c r="K88" s="590"/>
      <c r="L88" s="590"/>
      <c r="M88" s="591" t="s">
        <v>57</v>
      </c>
      <c r="N88" s="587">
        <f>N74/$N$77</f>
        <v>1.0715160140550677E-2</v>
      </c>
      <c r="O88" s="587">
        <f t="shared" si="22"/>
        <v>0</v>
      </c>
      <c r="P88" s="10"/>
      <c r="Q88" s="592"/>
      <c r="R88" s="595"/>
      <c r="S88" s="595"/>
      <c r="T88" s="589"/>
    </row>
    <row r="89" spans="1:23" s="517" customFormat="1" ht="15" hidden="1" customHeight="1">
      <c r="A89" s="3"/>
      <c r="B89" s="599" t="s">
        <v>223</v>
      </c>
      <c r="C89" s="600">
        <f>SUMIFS($J$10:$J$60,$C$10:$C$60,"MApN",$H$10:$H$60,"0,00%")</f>
        <v>0</v>
      </c>
      <c r="D89" s="600"/>
      <c r="E89" s="601">
        <f>SUMIFS($J$10:$J$60,$C$10:$C$60,"MApN",$H$10:$H$60,"100,00%")</f>
        <v>0</v>
      </c>
      <c r="F89" s="583">
        <f t="shared" si="17"/>
        <v>0</v>
      </c>
      <c r="G89" s="830">
        <f t="shared" si="18"/>
        <v>0</v>
      </c>
      <c r="H89" s="585">
        <f t="shared" si="19"/>
        <v>0</v>
      </c>
      <c r="I89" s="576">
        <f t="shared" si="20"/>
        <v>0</v>
      </c>
      <c r="J89" s="590"/>
      <c r="K89" s="590"/>
      <c r="L89" s="590"/>
      <c r="M89" s="602" t="s">
        <v>223</v>
      </c>
      <c r="N89" s="587">
        <f>N76/$N$77</f>
        <v>0</v>
      </c>
      <c r="O89" s="587">
        <f t="shared" si="22"/>
        <v>0</v>
      </c>
      <c r="P89" s="10"/>
      <c r="Q89" s="593" t="s">
        <v>428</v>
      </c>
      <c r="R89" s="595" t="e">
        <f>SUMIF(#REF!,#REF!,J$10:J$60)</f>
        <v>#REF!</v>
      </c>
      <c r="S89" s="595" t="e">
        <f>SUMIF(#REF!,#REF!,M$10:M$60)</f>
        <v>#REF!</v>
      </c>
      <c r="T89" s="589" t="e">
        <f>COUNTIF(#REF!,"CNAIR S.A.")</f>
        <v>#REF!</v>
      </c>
      <c r="U89" s="603" t="e">
        <f>SUMIF(#REF!,#REF!,G$10:G$60)</f>
        <v>#REF!</v>
      </c>
      <c r="V89" s="603" t="e">
        <f>SUMIF(#REF!,#REF!,H$10:H$60)</f>
        <v>#REF!</v>
      </c>
      <c r="W89" s="603" t="e">
        <f>SUMIF(#REF!,#REF!,I$10:I$60)</f>
        <v>#REF!</v>
      </c>
    </row>
    <row r="90" spans="1:23" s="517" customFormat="1" ht="15" hidden="1" customHeight="1">
      <c r="A90" s="3"/>
      <c r="B90" s="604"/>
      <c r="C90" s="600">
        <f>SUM(C81:C89)</f>
        <v>133429</v>
      </c>
      <c r="D90" s="605"/>
      <c r="E90" s="606">
        <f>SUM(E81:E89)</f>
        <v>31058452</v>
      </c>
      <c r="F90" s="607">
        <f>SUM(F81:F89)</f>
        <v>31191881</v>
      </c>
      <c r="G90" s="831">
        <f>SUM(G81:G89)</f>
        <v>31191881</v>
      </c>
      <c r="H90" s="507"/>
      <c r="I90" s="609">
        <f>SUM(I81:I89)</f>
        <v>0</v>
      </c>
      <c r="J90" s="590"/>
      <c r="K90" s="590"/>
      <c r="L90" s="590"/>
      <c r="M90" s="1"/>
      <c r="N90" s="610">
        <f>SUM(N81:N89)</f>
        <v>1</v>
      </c>
      <c r="O90" s="610">
        <f>SUM(O81:O89)</f>
        <v>1</v>
      </c>
      <c r="P90" s="10"/>
      <c r="Q90" s="593" t="s">
        <v>420</v>
      </c>
      <c r="R90" s="595">
        <f>'[2]Anexa nr 3'!$I$100</f>
        <v>108444423.36453</v>
      </c>
      <c r="S90" s="595">
        <f>'[2]Anexa nr 3'!$M$100</f>
        <v>65459951.74453</v>
      </c>
      <c r="T90" s="589"/>
      <c r="U90" s="603">
        <f>'[3]anexa 2 PUNCTAJ'!$F$192</f>
        <v>6980.5</v>
      </c>
      <c r="V90" s="603">
        <f>'[2]Anexa nr 3'!$F$100*100</f>
        <v>5702.58</v>
      </c>
      <c r="W90" s="603">
        <f>'[2]Anexa nr 3'!$G$100*100</f>
        <v>4994.5301788876395</v>
      </c>
    </row>
    <row r="91" spans="1:23" s="517" customFormat="1" ht="15" hidden="1" customHeight="1">
      <c r="A91" s="3"/>
      <c r="B91" s="562"/>
      <c r="C91" s="611"/>
      <c r="D91" s="503"/>
      <c r="E91" s="507">
        <f>I90</f>
        <v>0</v>
      </c>
      <c r="F91" s="606">
        <f>F90-E90-C90</f>
        <v>0</v>
      </c>
      <c r="G91" s="605"/>
      <c r="H91" s="507"/>
      <c r="I91" s="563"/>
      <c r="J91" s="590"/>
      <c r="K91" s="590"/>
      <c r="L91" s="590"/>
      <c r="M91" s="1"/>
      <c r="N91" s="610" t="s">
        <v>429</v>
      </c>
      <c r="O91" s="610" t="s">
        <v>429</v>
      </c>
      <c r="P91" s="10"/>
      <c r="Q91" s="593" t="s">
        <v>421</v>
      </c>
      <c r="R91" s="595" t="e">
        <f>R89-R90</f>
        <v>#REF!</v>
      </c>
      <c r="S91" s="595" t="e">
        <f>S89-S90</f>
        <v>#REF!</v>
      </c>
      <c r="T91" s="589"/>
      <c r="U91" s="603" t="e">
        <f>U89-U90</f>
        <v>#REF!</v>
      </c>
      <c r="V91" s="603" t="e">
        <f>V89-V90</f>
        <v>#REF!</v>
      </c>
      <c r="W91" s="603" t="e">
        <f>W89-W90</f>
        <v>#REF!</v>
      </c>
    </row>
    <row r="92" spans="1:23" s="517" customFormat="1" ht="15" hidden="1" customHeight="1">
      <c r="A92" s="3"/>
      <c r="B92" s="562"/>
      <c r="C92" s="3"/>
      <c r="D92" s="3"/>
      <c r="E92" s="563"/>
      <c r="F92" s="11"/>
      <c r="G92" s="749"/>
      <c r="H92" s="563"/>
      <c r="I92" s="507"/>
      <c r="J92" s="590"/>
      <c r="K92" s="590"/>
      <c r="L92" s="590"/>
      <c r="N92" s="612"/>
      <c r="P92" s="10"/>
      <c r="Q92" s="593"/>
      <c r="R92" s="595"/>
      <c r="S92" s="595"/>
      <c r="T92" s="589" t="s">
        <v>430</v>
      </c>
      <c r="U92" s="613"/>
    </row>
    <row r="93" spans="1:23" s="517" customFormat="1" ht="15" hidden="1" customHeight="1">
      <c r="A93" s="3"/>
      <c r="B93" s="614" t="s">
        <v>431</v>
      </c>
      <c r="C93" s="615">
        <v>0</v>
      </c>
      <c r="D93" s="615"/>
      <c r="E93" s="615">
        <v>100</v>
      </c>
      <c r="F93" s="616" t="s">
        <v>432</v>
      </c>
      <c r="G93" s="749" t="s">
        <v>411</v>
      </c>
      <c r="H93" s="563" t="s">
        <v>433</v>
      </c>
      <c r="I93" s="617" t="s">
        <v>413</v>
      </c>
      <c r="J93" s="1"/>
      <c r="K93" s="1"/>
      <c r="L93" s="1"/>
      <c r="M93" s="506"/>
      <c r="N93" s="506"/>
      <c r="O93" s="503"/>
      <c r="P93" s="10"/>
      <c r="Q93" s="592" t="s">
        <v>434</v>
      </c>
      <c r="R93" s="618" t="e">
        <f>R94+R99</f>
        <v>#REF!</v>
      </c>
      <c r="S93" s="618" t="e">
        <f>S94+S99</f>
        <v>#REF!</v>
      </c>
      <c r="T93" s="589" t="e">
        <f>COUNTIF(#REF!,"CN Administraţia Porturilor Maritime SA Constanţa")</f>
        <v>#REF!</v>
      </c>
    </row>
    <row r="94" spans="1:23" s="517" customFormat="1" ht="15" hidden="1" customHeight="1">
      <c r="A94" s="3"/>
      <c r="B94" s="619" t="s">
        <v>435</v>
      </c>
      <c r="C94" s="581">
        <f>SUMIFS($M$11:$M$62,$C$11:$C$62,"MTI",$H$11:$H$62,"0,00%")</f>
        <v>106837</v>
      </c>
      <c r="D94" s="581"/>
      <c r="E94" s="620">
        <f>SUMIFS($M$11:$M$60,$C$11:$C$60,"MTIC",$H$11:$H$60,"100,00%")</f>
        <v>0</v>
      </c>
      <c r="F94" s="620">
        <f t="shared" ref="F94:F102" si="23">C94+E94</f>
        <v>106837</v>
      </c>
      <c r="G94" s="831">
        <f t="shared" ref="G94:G102" si="24">O68</f>
        <v>4389802</v>
      </c>
      <c r="H94" s="585">
        <f t="shared" ref="H94:H102" si="25">G94-F94-I94</f>
        <v>0</v>
      </c>
      <c r="I94" s="576">
        <f t="shared" ref="I94:I102" si="26">G94-F94</f>
        <v>4282965</v>
      </c>
      <c r="J94" s="1"/>
      <c r="K94" s="1"/>
      <c r="L94" s="1"/>
      <c r="M94" s="506"/>
      <c r="N94" s="506"/>
      <c r="O94" s="503"/>
      <c r="P94" s="10"/>
      <c r="Q94" s="593" t="s">
        <v>428</v>
      </c>
      <c r="R94" s="595" t="e">
        <f>SUMIF(#REF!,#REF!,J$10:J$60)</f>
        <v>#REF!</v>
      </c>
      <c r="S94" s="621" t="e">
        <f>SUMIF(#REF!,#REF!,M$10:M$60)</f>
        <v>#REF!</v>
      </c>
      <c r="T94" s="589"/>
    </row>
    <row r="95" spans="1:23" s="517" customFormat="1" ht="15" hidden="1" customHeight="1">
      <c r="A95" s="3"/>
      <c r="B95" s="619" t="s">
        <v>60</v>
      </c>
      <c r="C95" s="581">
        <f>SUMIFS($M$11:$M$62,$C$11:$C$62,"MS",$H$11:$H$62,"0,00%")</f>
        <v>0</v>
      </c>
      <c r="D95" s="581"/>
      <c r="E95" s="620">
        <f>SUMIFS($M$11:$M$60,$C$11:$C$60,"MS",$H$11:$H$60,"100,00%")</f>
        <v>0</v>
      </c>
      <c r="F95" s="620">
        <f t="shared" si="23"/>
        <v>0</v>
      </c>
      <c r="G95" s="831">
        <f t="shared" si="24"/>
        <v>0</v>
      </c>
      <c r="H95" s="585">
        <f t="shared" si="25"/>
        <v>0</v>
      </c>
      <c r="I95" s="576">
        <f t="shared" si="26"/>
        <v>0</v>
      </c>
      <c r="J95" s="1"/>
      <c r="K95" s="1"/>
      <c r="L95" s="1"/>
      <c r="M95" s="1"/>
      <c r="N95" s="506"/>
      <c r="O95" s="503"/>
      <c r="P95" s="10"/>
      <c r="Q95" s="593" t="s">
        <v>420</v>
      </c>
      <c r="R95" s="595"/>
      <c r="S95" s="621"/>
      <c r="T95" s="589"/>
    </row>
    <row r="96" spans="1:23" s="517" customFormat="1" ht="15" hidden="1" customHeight="1">
      <c r="A96" s="622"/>
      <c r="B96" s="619" t="s">
        <v>287</v>
      </c>
      <c r="C96" s="581">
        <f>SUMIFS($M$11:$M$62,$C$11:$C$62,"MJ",$H$11:$H$62,"0,00%")</f>
        <v>0</v>
      </c>
      <c r="D96" s="581"/>
      <c r="E96" s="620">
        <f>SUMIFS($M$11:$M$60,$C$11:$C$60,"MJ",$H$11:$H$60,"100,00%")</f>
        <v>0</v>
      </c>
      <c r="F96" s="620">
        <f t="shared" si="23"/>
        <v>0</v>
      </c>
      <c r="G96" s="831">
        <f t="shared" si="24"/>
        <v>0</v>
      </c>
      <c r="H96" s="585">
        <f t="shared" si="25"/>
        <v>0</v>
      </c>
      <c r="I96" s="576">
        <f t="shared" si="26"/>
        <v>0</v>
      </c>
      <c r="J96" s="1"/>
      <c r="K96" s="1"/>
      <c r="L96" s="1"/>
      <c r="M96" s="506"/>
      <c r="N96" s="506"/>
      <c r="O96" s="503"/>
      <c r="P96" s="10"/>
      <c r="Q96" s="593" t="s">
        <v>421</v>
      </c>
      <c r="R96" s="595" t="e">
        <f>R94-R95</f>
        <v>#REF!</v>
      </c>
      <c r="S96" s="595" t="e">
        <f>S94-S95</f>
        <v>#REF!</v>
      </c>
      <c r="T96" s="589"/>
    </row>
    <row r="97" spans="1:20" s="517" customFormat="1" ht="15" hidden="1" customHeight="1">
      <c r="A97" s="1"/>
      <c r="B97" s="619" t="s">
        <v>107</v>
      </c>
      <c r="C97" s="581">
        <f>SUMIFS($M$11:$M$62,$C$11:$C$62,"MDLPA",$H$11:$H$62,"0,00%")</f>
        <v>0</v>
      </c>
      <c r="D97" s="581"/>
      <c r="E97" s="620">
        <f>SUMIFS($M$11:$M$60,$C$11:$C$60,"MLPDA",$H$11:$H$60,"100,00%")</f>
        <v>0</v>
      </c>
      <c r="F97" s="620">
        <f t="shared" si="23"/>
        <v>0</v>
      </c>
      <c r="G97" s="831">
        <f t="shared" si="24"/>
        <v>0</v>
      </c>
      <c r="H97" s="585">
        <f t="shared" si="25"/>
        <v>0</v>
      </c>
      <c r="I97" s="576">
        <f t="shared" si="26"/>
        <v>0</v>
      </c>
      <c r="J97" s="1"/>
      <c r="K97" s="1"/>
      <c r="L97" s="1"/>
      <c r="M97" s="1"/>
      <c r="N97" s="1"/>
      <c r="O97" s="3"/>
      <c r="P97" s="10"/>
      <c r="Q97" s="623"/>
      <c r="R97" s="595" t="e">
        <f>R93+R112</f>
        <v>#REF!</v>
      </c>
      <c r="S97" s="595" t="e">
        <f>S93+S112</f>
        <v>#REF!</v>
      </c>
      <c r="T97" s="589"/>
    </row>
    <row r="98" spans="1:20" s="517" customFormat="1" ht="15" hidden="1" customHeight="1">
      <c r="A98" s="1"/>
      <c r="B98" s="624" t="s">
        <v>21</v>
      </c>
      <c r="C98" s="581">
        <f>SUMIFS($M$11:$M$62,$C$11:$C$62,"MMAP",$H$11:$H$62,"0,00%")</f>
        <v>0</v>
      </c>
      <c r="D98" s="581"/>
      <c r="E98" s="620">
        <f>SUMIFS($M$11:$M$60,$C$11:$C$60,"MMAP",$H$11:$H$60,"100,00%")</f>
        <v>101963</v>
      </c>
      <c r="F98" s="620">
        <f t="shared" si="23"/>
        <v>101963</v>
      </c>
      <c r="G98" s="831">
        <f t="shared" si="24"/>
        <v>101963</v>
      </c>
      <c r="H98" s="585">
        <f t="shared" si="25"/>
        <v>0</v>
      </c>
      <c r="I98" s="576">
        <f t="shared" si="26"/>
        <v>0</v>
      </c>
      <c r="J98" s="506"/>
      <c r="K98" s="506"/>
      <c r="L98" s="506"/>
      <c r="M98" s="506"/>
      <c r="N98" s="506"/>
      <c r="O98" s="503"/>
      <c r="P98" s="10"/>
      <c r="Q98" s="625" t="s">
        <v>436</v>
      </c>
      <c r="R98" s="595"/>
      <c r="S98" s="621"/>
      <c r="T98" s="589" t="e">
        <f>COUNTIF(#REF!,"AFDJ RA Galati")</f>
        <v>#REF!</v>
      </c>
    </row>
    <row r="99" spans="1:20" s="517" customFormat="1" ht="15" hidden="1" customHeight="1">
      <c r="A99" s="1"/>
      <c r="B99" s="619" t="s">
        <v>401</v>
      </c>
      <c r="C99" s="581">
        <f>SUMIFS($M$11:$M$62,$C$11:$C$62,"ME",$H$11:$H$62,"0,00%")</f>
        <v>0</v>
      </c>
      <c r="D99" s="581"/>
      <c r="E99" s="620">
        <f>SUMIFS($M$11:$M$60,$C$11:$C$60,"MEEMA",$H$11:$H$60,"100,00%")</f>
        <v>0</v>
      </c>
      <c r="F99" s="620">
        <f t="shared" si="23"/>
        <v>0</v>
      </c>
      <c r="G99" s="831">
        <f t="shared" si="24"/>
        <v>0</v>
      </c>
      <c r="H99" s="585">
        <f t="shared" si="25"/>
        <v>0</v>
      </c>
      <c r="I99" s="576">
        <f t="shared" si="26"/>
        <v>0</v>
      </c>
      <c r="J99" s="1"/>
      <c r="K99" s="1"/>
      <c r="L99" s="1"/>
      <c r="M99" s="506"/>
      <c r="N99" s="506"/>
      <c r="O99" s="503"/>
      <c r="P99" s="10"/>
      <c r="Q99" s="593" t="s">
        <v>428</v>
      </c>
      <c r="R99" s="595" t="e">
        <f>SUMIF(#REF!,#REF!,J$10:J$60)</f>
        <v>#REF!</v>
      </c>
      <c r="S99" s="621" t="e">
        <f>SUMIF(#REF!,#REF!,M$10:M$60)</f>
        <v>#REF!</v>
      </c>
      <c r="T99" s="589"/>
    </row>
    <row r="100" spans="1:20" s="517" customFormat="1" ht="15" hidden="1" customHeight="1">
      <c r="A100" s="1"/>
      <c r="B100" s="619" t="s">
        <v>57</v>
      </c>
      <c r="C100" s="581">
        <f>SUMIFS($M$11:$M$62,$C$11:$C$62,"MCID",$H$11:$H$62,"0,00%")</f>
        <v>0</v>
      </c>
      <c r="D100" s="581"/>
      <c r="E100" s="620">
        <f>SUMIFS($M$11:$M$60,$C$11:$C$60,"MEC",$H$11:$H$60,"100,00%")</f>
        <v>0</v>
      </c>
      <c r="F100" s="620">
        <f t="shared" si="23"/>
        <v>0</v>
      </c>
      <c r="G100" s="831">
        <f t="shared" si="24"/>
        <v>828</v>
      </c>
      <c r="H100" s="585">
        <f t="shared" si="25"/>
        <v>0</v>
      </c>
      <c r="I100" s="576">
        <f t="shared" si="26"/>
        <v>828</v>
      </c>
      <c r="J100" s="1"/>
      <c r="K100" s="1"/>
      <c r="L100" s="1"/>
      <c r="M100" s="506"/>
      <c r="N100" s="506"/>
      <c r="O100" s="503"/>
      <c r="P100" s="10"/>
      <c r="Q100" s="593" t="s">
        <v>420</v>
      </c>
      <c r="R100" s="595"/>
      <c r="S100" s="621"/>
      <c r="T100" s="589"/>
    </row>
    <row r="101" spans="1:20" s="517" customFormat="1" ht="15" hidden="1" customHeight="1">
      <c r="A101" s="1"/>
      <c r="B101" s="619" t="s">
        <v>38</v>
      </c>
      <c r="C101" s="581">
        <f>SUMIFS($M$11:$M$62,$C$11:$C$62,"SPP",$H$11:$H$62,"0,00%")</f>
        <v>0</v>
      </c>
      <c r="D101" s="581"/>
      <c r="E101" s="620">
        <f>SUMIFS($M$11:$M$60,$C$11:$C$60,"MEC",$H$11:$H$60,"100,00%")</f>
        <v>0</v>
      </c>
      <c r="F101" s="620">
        <f t="shared" si="23"/>
        <v>0</v>
      </c>
      <c r="G101" s="831">
        <f t="shared" si="24"/>
        <v>0</v>
      </c>
      <c r="H101" s="585">
        <f t="shared" si="25"/>
        <v>0</v>
      </c>
      <c r="I101" s="576">
        <f t="shared" si="26"/>
        <v>0</v>
      </c>
      <c r="J101" s="1"/>
      <c r="K101" s="1"/>
      <c r="L101" s="1"/>
      <c r="M101" s="506"/>
      <c r="N101" s="506"/>
      <c r="O101" s="503"/>
      <c r="P101" s="10"/>
      <c r="Q101" s="593"/>
      <c r="R101" s="595"/>
      <c r="S101" s="621"/>
      <c r="T101" s="589"/>
    </row>
    <row r="102" spans="1:20" s="517" customFormat="1" ht="15" hidden="1" customHeight="1">
      <c r="A102" s="1"/>
      <c r="B102" s="619" t="s">
        <v>223</v>
      </c>
      <c r="C102" s="581">
        <f>SUMIFS($M$11:$M$62,$C$11:$C$62,"MTI",$H$11:$H$62,"0,00%")</f>
        <v>106837</v>
      </c>
      <c r="D102" s="581"/>
      <c r="E102" s="620">
        <f>SUMIFS($M$11:$M$60,$C$11:$C$60,"MApN",$H$11:$H$60,"100,00%")</f>
        <v>0</v>
      </c>
      <c r="F102" s="620">
        <f t="shared" si="23"/>
        <v>106837</v>
      </c>
      <c r="G102" s="831">
        <f t="shared" si="24"/>
        <v>0</v>
      </c>
      <c r="H102" s="585">
        <f t="shared" si="25"/>
        <v>0</v>
      </c>
      <c r="I102" s="576">
        <f t="shared" si="26"/>
        <v>-106837</v>
      </c>
      <c r="J102" s="506"/>
      <c r="K102" s="506"/>
      <c r="L102" s="506"/>
      <c r="M102" s="506"/>
      <c r="N102" s="506"/>
      <c r="O102" s="503"/>
      <c r="P102" s="10"/>
      <c r="Q102" s="593" t="s">
        <v>421</v>
      </c>
      <c r="R102" s="595" t="e">
        <f>R99-R100</f>
        <v>#REF!</v>
      </c>
      <c r="S102" s="595" t="e">
        <f>S99-S100</f>
        <v>#REF!</v>
      </c>
      <c r="T102" s="589"/>
    </row>
    <row r="103" spans="1:20" s="517" customFormat="1" ht="15" hidden="1" customHeight="1">
      <c r="A103" s="1"/>
      <c r="B103" s="626">
        <f>C103+E103</f>
        <v>315637</v>
      </c>
      <c r="C103" s="581">
        <f>SUM(C94:C102)</f>
        <v>213674</v>
      </c>
      <c r="D103" s="627"/>
      <c r="E103" s="607">
        <f>SUM(E94:E102)</f>
        <v>101963</v>
      </c>
      <c r="F103" s="607">
        <f>SUM(F94:F102)</f>
        <v>315637</v>
      </c>
      <c r="G103" s="831">
        <f>SUM(G94:G102)</f>
        <v>4492593</v>
      </c>
      <c r="H103" s="507"/>
      <c r="I103" s="628">
        <f>SUM(I94:I102)</f>
        <v>4176956</v>
      </c>
      <c r="J103" s="506"/>
      <c r="K103" s="506"/>
      <c r="L103" s="506"/>
      <c r="M103" s="506"/>
      <c r="N103" s="506"/>
      <c r="O103" s="503"/>
      <c r="P103" s="10"/>
      <c r="Q103" s="623" t="s">
        <v>437</v>
      </c>
      <c r="R103" s="618" t="e">
        <f>R94+R99</f>
        <v>#REF!</v>
      </c>
      <c r="S103" s="618" t="e">
        <f>S94+S99</f>
        <v>#REF!</v>
      </c>
      <c r="T103" s="589"/>
    </row>
    <row r="104" spans="1:20" s="517" customFormat="1" ht="15" hidden="1" customHeight="1">
      <c r="A104" s="506"/>
      <c r="B104" s="562"/>
      <c r="C104" s="611" t="s">
        <v>438</v>
      </c>
      <c r="D104" s="503"/>
      <c r="E104" s="564">
        <f>I103</f>
        <v>4176956</v>
      </c>
      <c r="F104" s="615"/>
      <c r="G104" s="749"/>
      <c r="H104" s="563"/>
      <c r="I104" s="563">
        <f>I103+E103</f>
        <v>4278919</v>
      </c>
      <c r="J104" s="506"/>
      <c r="K104" s="506"/>
      <c r="L104" s="506"/>
      <c r="M104" s="506"/>
      <c r="N104" s="506"/>
      <c r="O104" s="503"/>
      <c r="P104" s="10"/>
      <c r="Q104" s="625" t="s">
        <v>439</v>
      </c>
      <c r="R104" s="595"/>
      <c r="S104" s="621"/>
      <c r="T104" s="589" t="e">
        <f>COUNTIF(#REF!,"CNCF CFR-SA")</f>
        <v>#REF!</v>
      </c>
    </row>
    <row r="105" spans="1:20" s="517" customFormat="1" ht="15" hidden="1" customHeight="1">
      <c r="A105" s="1"/>
      <c r="B105" s="562"/>
      <c r="C105" s="3"/>
      <c r="D105" s="3"/>
      <c r="E105" s="1"/>
      <c r="F105" s="1"/>
      <c r="G105" s="749"/>
      <c r="H105" s="563"/>
      <c r="I105" s="563"/>
      <c r="J105" s="506"/>
      <c r="K105" s="506"/>
      <c r="L105" s="506"/>
      <c r="M105" s="506"/>
      <c r="N105" s="506"/>
      <c r="O105" s="503"/>
      <c r="P105" s="10"/>
      <c r="Q105" s="593" t="s">
        <v>428</v>
      </c>
      <c r="R105" s="595" t="e">
        <f>SUMIF(#REF!,#REF!,J$10:J$60)</f>
        <v>#REF!</v>
      </c>
      <c r="S105" s="621" t="e">
        <f>SUMIF(#REF!,#REF!,M$10:M$60)</f>
        <v>#REF!</v>
      </c>
      <c r="T105" s="589"/>
    </row>
    <row r="106" spans="1:20" s="517" customFormat="1" ht="15" hidden="1" customHeight="1">
      <c r="A106" s="1"/>
      <c r="B106" s="562"/>
      <c r="C106" s="3"/>
      <c r="D106" s="3"/>
      <c r="E106" s="1"/>
      <c r="F106" s="1"/>
      <c r="G106" s="749"/>
      <c r="H106" s="563"/>
      <c r="I106" s="563"/>
      <c r="J106" s="1"/>
      <c r="K106" s="1"/>
      <c r="L106" s="1"/>
      <c r="M106" s="1"/>
      <c r="N106" s="1"/>
      <c r="O106" s="3"/>
      <c r="P106" s="10"/>
      <c r="Q106" s="593" t="s">
        <v>420</v>
      </c>
      <c r="R106" s="595">
        <f>'[4]Anexa 3 - 05.09.2018'!$I$21</f>
        <v>37207406</v>
      </c>
      <c r="S106" s="621">
        <f>'[4]Anexa 3 - 05.09.2018'!$M$21</f>
        <v>22054299.829999998</v>
      </c>
      <c r="T106" s="589"/>
    </row>
    <row r="107" spans="1:20" s="517" customFormat="1" ht="15" hidden="1" customHeight="1">
      <c r="A107" s="1"/>
      <c r="B107" s="562"/>
      <c r="C107" s="629" t="s">
        <v>440</v>
      </c>
      <c r="D107" s="629"/>
      <c r="E107" s="615"/>
      <c r="F107" s="615"/>
      <c r="G107" s="749"/>
      <c r="H107" s="563"/>
      <c r="I107" s="563"/>
      <c r="J107" s="1"/>
      <c r="K107" s="1"/>
      <c r="L107" s="1"/>
      <c r="M107" s="1"/>
      <c r="N107" s="1"/>
      <c r="O107" s="3"/>
      <c r="P107" s="10"/>
      <c r="Q107" s="593" t="s">
        <v>421</v>
      </c>
      <c r="R107" s="595" t="e">
        <f>R105-R106</f>
        <v>#REF!</v>
      </c>
      <c r="S107" s="595" t="e">
        <f>S105-S106</f>
        <v>#REF!</v>
      </c>
      <c r="T107" s="589"/>
    </row>
    <row r="108" spans="1:20" s="517" customFormat="1" ht="15" hidden="1" customHeight="1">
      <c r="A108" s="1"/>
      <c r="B108" s="562"/>
      <c r="C108" s="630">
        <f>C103/F103</f>
        <v>0.67696119276257216</v>
      </c>
      <c r="D108" s="631"/>
      <c r="E108" s="632">
        <f>E103/F103</f>
        <v>0.32303880723742778</v>
      </c>
      <c r="F108" s="633">
        <f>C108+E108</f>
        <v>1</v>
      </c>
      <c r="G108" s="749"/>
      <c r="H108" s="563"/>
      <c r="I108" s="563"/>
      <c r="J108" s="1"/>
      <c r="K108" s="1"/>
      <c r="L108" s="1"/>
      <c r="M108" s="1"/>
      <c r="N108" s="1"/>
      <c r="O108" s="3"/>
      <c r="P108" s="10"/>
      <c r="Q108" s="623"/>
      <c r="R108" s="595"/>
      <c r="S108" s="621"/>
      <c r="T108" s="589"/>
    </row>
    <row r="109" spans="1:20" s="517" customFormat="1" ht="15" hidden="1" customHeight="1">
      <c r="A109" s="1"/>
      <c r="B109" s="562"/>
      <c r="C109" s="3"/>
      <c r="D109" s="3"/>
      <c r="E109" s="1"/>
      <c r="F109" s="1"/>
      <c r="G109" s="749"/>
      <c r="H109" s="563"/>
      <c r="I109" s="563"/>
      <c r="J109" s="1"/>
      <c r="K109" s="1"/>
      <c r="L109" s="1"/>
      <c r="M109" s="1"/>
      <c r="N109" s="1"/>
      <c r="O109" s="3"/>
      <c r="P109" s="634"/>
      <c r="Q109" s="625" t="s">
        <v>441</v>
      </c>
      <c r="R109" s="595"/>
      <c r="S109" s="621"/>
      <c r="T109" s="589" t="e">
        <f>COUNTIF(#REF!,"CN Administraţia Canalelor Navigabile SA Constanta")</f>
        <v>#REF!</v>
      </c>
    </row>
    <row r="110" spans="1:20" s="517" customFormat="1" ht="15" hidden="1" customHeight="1">
      <c r="A110" s="1"/>
      <c r="B110" s="562"/>
      <c r="C110" s="3"/>
      <c r="D110" s="3"/>
      <c r="E110" s="1"/>
      <c r="F110" s="1"/>
      <c r="G110" s="749"/>
      <c r="H110" s="563"/>
      <c r="I110" s="563"/>
      <c r="J110" s="1"/>
      <c r="K110" s="1"/>
      <c r="L110" s="1"/>
      <c r="M110" s="1"/>
      <c r="N110" s="1"/>
      <c r="O110" s="3"/>
      <c r="P110" s="634"/>
      <c r="Q110" s="593" t="s">
        <v>428</v>
      </c>
      <c r="R110" s="595" t="e">
        <f>SUMIF(#REF!,#REF!,J$10:J$60)</f>
        <v>#REF!</v>
      </c>
      <c r="S110" s="621" t="e">
        <f>SUMIF(#REF!,#REF!,M$10:M$60)</f>
        <v>#REF!</v>
      </c>
      <c r="T110" s="589"/>
    </row>
    <row r="111" spans="1:20" s="517" customFormat="1" ht="15" hidden="1" customHeight="1">
      <c r="A111" s="1"/>
      <c r="B111" s="562"/>
      <c r="C111" s="3"/>
      <c r="D111" s="3"/>
      <c r="E111" s="1"/>
      <c r="F111" s="1"/>
      <c r="G111" s="749"/>
      <c r="H111" s="563"/>
      <c r="I111" s="563"/>
      <c r="J111" s="1"/>
      <c r="K111" s="1"/>
      <c r="L111" s="1"/>
      <c r="M111" s="1"/>
      <c r="N111" s="1"/>
      <c r="O111" s="635"/>
      <c r="P111" s="634"/>
      <c r="Q111" s="593" t="s">
        <v>420</v>
      </c>
      <c r="R111" s="595">
        <f>'[5]Anexa nr 3'!$I$17</f>
        <v>4554710</v>
      </c>
      <c r="S111" s="621">
        <f>'[5]Anexa nr 3'!$M$17</f>
        <v>2865562</v>
      </c>
      <c r="T111" s="589"/>
    </row>
    <row r="112" spans="1:20" s="517" customFormat="1" ht="15" hidden="1" customHeight="1">
      <c r="A112" s="1"/>
      <c r="B112" s="562"/>
      <c r="C112" s="3"/>
      <c r="D112" s="3"/>
      <c r="E112" s="564">
        <f>E114-E113</f>
        <v>30624117</v>
      </c>
      <c r="F112" s="564">
        <f>F114-F113</f>
        <v>4389802</v>
      </c>
      <c r="G112" s="749"/>
      <c r="H112" s="563"/>
      <c r="I112" s="563"/>
      <c r="J112" s="1"/>
      <c r="K112" s="1"/>
      <c r="L112" s="1"/>
      <c r="M112" s="1"/>
      <c r="N112" s="1"/>
      <c r="O112" s="635"/>
      <c r="P112" s="634"/>
      <c r="Q112" s="593" t="s">
        <v>421</v>
      </c>
      <c r="R112" s="595" t="e">
        <f>R110-R111</f>
        <v>#REF!</v>
      </c>
      <c r="S112" s="595" t="e">
        <f>S110-S111</f>
        <v>#REF!</v>
      </c>
      <c r="T112" s="589"/>
    </row>
    <row r="113" spans="5:20" ht="15" hidden="1" customHeight="1">
      <c r="E113" s="563"/>
      <c r="F113" s="563"/>
      <c r="H113" s="563"/>
      <c r="I113" s="563"/>
      <c r="J113" s="1"/>
      <c r="K113" s="1"/>
      <c r="L113" s="1"/>
      <c r="M113" s="1"/>
      <c r="O113" s="635"/>
      <c r="P113" s="634"/>
      <c r="Q113" s="592" t="s">
        <v>442</v>
      </c>
      <c r="R113" s="636" t="e">
        <f>R110+R105+R99+R94+R89+R83</f>
        <v>#REF!</v>
      </c>
      <c r="S113" s="636" t="e">
        <f>S110+S105+S99+S94+S89+S83</f>
        <v>#REF!</v>
      </c>
      <c r="T113" s="618"/>
    </row>
    <row r="114" spans="5:20" ht="15" hidden="1" customHeight="1">
      <c r="E114" s="637">
        <f>N68</f>
        <v>30624117</v>
      </c>
      <c r="F114" s="637">
        <f>O68</f>
        <v>4389802</v>
      </c>
      <c r="H114" s="563"/>
      <c r="I114" s="563"/>
      <c r="J114" s="1"/>
      <c r="K114" s="1"/>
      <c r="L114" s="1"/>
      <c r="M114" s="1"/>
      <c r="O114" s="635"/>
      <c r="P114" s="634"/>
      <c r="Q114" s="517" t="s">
        <v>443</v>
      </c>
      <c r="R114" s="544">
        <f>N68</f>
        <v>30624117</v>
      </c>
      <c r="S114" s="544">
        <f>O68</f>
        <v>4389802</v>
      </c>
      <c r="T114" s="595"/>
    </row>
    <row r="115" spans="5:20" ht="15" hidden="1" customHeight="1">
      <c r="F115" s="1"/>
      <c r="H115" s="563"/>
      <c r="I115" s="563"/>
      <c r="J115" s="1"/>
      <c r="K115" s="1"/>
      <c r="L115" s="1"/>
      <c r="M115" s="1"/>
      <c r="O115" s="635"/>
      <c r="P115" s="634"/>
      <c r="Q115" s="517"/>
      <c r="R115" s="544" t="e">
        <f>R113-R114</f>
        <v>#REF!</v>
      </c>
      <c r="S115" s="544" t="e">
        <f>S113-S114</f>
        <v>#REF!</v>
      </c>
      <c r="T115" s="517"/>
    </row>
    <row r="116" spans="5:20" ht="15" hidden="1" customHeight="1">
      <c r="F116" s="1"/>
      <c r="H116" s="563"/>
      <c r="I116" s="563"/>
      <c r="J116" s="1"/>
      <c r="K116" s="1"/>
      <c r="L116" s="1"/>
      <c r="M116" s="1"/>
      <c r="O116" s="635"/>
      <c r="P116" s="634"/>
    </row>
    <row r="117" spans="5:20" ht="15" hidden="1" customHeight="1">
      <c r="F117" s="1"/>
      <c r="H117" s="563"/>
      <c r="I117" s="563"/>
      <c r="J117" s="1"/>
      <c r="K117" s="1"/>
      <c r="L117" s="1"/>
      <c r="M117" s="1"/>
      <c r="O117" s="635"/>
      <c r="P117" s="634"/>
    </row>
    <row r="118" spans="5:20" ht="15" hidden="1" customHeight="1">
      <c r="F118" s="1"/>
      <c r="H118" s="563"/>
      <c r="I118" s="563"/>
      <c r="J118" s="1"/>
      <c r="K118" s="1"/>
      <c r="L118" s="1"/>
      <c r="M118" s="1"/>
      <c r="O118" s="635"/>
      <c r="P118" s="634"/>
      <c r="T118" s="517"/>
    </row>
    <row r="119" spans="5:20" ht="15" hidden="1" customHeight="1">
      <c r="F119" s="1"/>
      <c r="H119" s="563"/>
      <c r="I119" s="563"/>
      <c r="J119" s="1"/>
      <c r="K119" s="1"/>
      <c r="L119" s="1"/>
      <c r="M119" s="1"/>
      <c r="O119" s="635"/>
      <c r="P119" s="634"/>
    </row>
    <row r="120" spans="5:20" ht="15" hidden="1" customHeight="1">
      <c r="F120" s="1"/>
      <c r="H120" s="563"/>
      <c r="I120" s="563"/>
      <c r="J120" s="1"/>
      <c r="K120" s="1"/>
      <c r="L120" s="1"/>
      <c r="M120" s="1"/>
      <c r="O120" s="635"/>
      <c r="P120" s="634"/>
    </row>
    <row r="121" spans="5:20" ht="15" hidden="1" customHeight="1">
      <c r="F121" s="1"/>
      <c r="H121" s="563"/>
      <c r="I121" s="563"/>
      <c r="J121" s="1"/>
      <c r="K121" s="1"/>
      <c r="L121" s="1"/>
      <c r="M121" s="1"/>
      <c r="O121" s="635"/>
      <c r="P121" s="634"/>
    </row>
    <row r="122" spans="5:20" ht="15.75" hidden="1" customHeight="1">
      <c r="F122" s="1"/>
      <c r="H122" s="563"/>
      <c r="I122" s="563"/>
      <c r="J122" s="1"/>
      <c r="K122" s="1"/>
      <c r="L122" s="1"/>
      <c r="M122" s="1"/>
      <c r="O122" s="635"/>
      <c r="P122" s="634"/>
    </row>
    <row r="123" spans="5:20" ht="15.75" hidden="1" customHeight="1">
      <c r="F123" s="1"/>
      <c r="H123" s="563"/>
      <c r="I123" s="563"/>
      <c r="J123" s="1"/>
      <c r="K123" s="1"/>
      <c r="L123" s="1"/>
      <c r="M123" s="1"/>
      <c r="O123" s="635"/>
      <c r="P123" s="634"/>
    </row>
    <row r="124" spans="5:20" ht="15.75" hidden="1" customHeight="1">
      <c r="F124" s="1"/>
      <c r="H124" s="563"/>
      <c r="I124" s="563"/>
      <c r="J124" s="1"/>
      <c r="K124" s="1"/>
      <c r="L124" s="1"/>
      <c r="M124" s="1"/>
      <c r="O124" s="635"/>
      <c r="P124" s="634"/>
    </row>
    <row r="125" spans="5:20" ht="15.75" hidden="1" customHeight="1">
      <c r="F125" s="1"/>
      <c r="H125" s="563"/>
      <c r="I125" s="563"/>
      <c r="J125" s="1"/>
      <c r="K125" s="1"/>
      <c r="L125" s="1"/>
      <c r="M125" s="1"/>
      <c r="O125" s="635"/>
      <c r="P125" s="634"/>
    </row>
    <row r="126" spans="5:20" ht="15.75" hidden="1" customHeight="1">
      <c r="F126" s="1"/>
      <c r="H126" s="563"/>
      <c r="I126" s="563"/>
      <c r="J126" s="1"/>
      <c r="K126" s="1"/>
      <c r="L126" s="1"/>
      <c r="M126" s="1"/>
      <c r="O126" s="635"/>
      <c r="P126" s="634"/>
    </row>
    <row r="127" spans="5:20" ht="15.75" hidden="1" customHeight="1">
      <c r="F127" s="1"/>
      <c r="H127" s="563"/>
      <c r="I127" s="563"/>
      <c r="J127" s="1"/>
      <c r="K127" s="1"/>
      <c r="L127" s="1"/>
      <c r="M127" s="1"/>
      <c r="O127" s="635"/>
      <c r="P127" s="634"/>
    </row>
    <row r="128" spans="5:20" ht="15.75" hidden="1" customHeight="1">
      <c r="F128" s="1"/>
      <c r="H128" s="563"/>
      <c r="I128" s="563"/>
      <c r="J128" s="1"/>
      <c r="K128" s="1"/>
      <c r="L128" s="1"/>
      <c r="M128" s="1"/>
      <c r="O128" s="635"/>
      <c r="P128" s="634"/>
    </row>
    <row r="129" spans="6:16" ht="15.75" hidden="1" customHeight="1">
      <c r="F129" s="1"/>
      <c r="H129" s="563"/>
      <c r="I129" s="563"/>
      <c r="J129" s="1"/>
      <c r="K129" s="1"/>
      <c r="L129" s="1"/>
      <c r="M129" s="1"/>
      <c r="O129" s="635"/>
      <c r="P129" s="634"/>
    </row>
    <row r="130" spans="6:16" ht="15.75" hidden="1" customHeight="1">
      <c r="F130" s="1"/>
      <c r="H130" s="563"/>
      <c r="I130" s="563"/>
      <c r="J130" s="1"/>
      <c r="K130" s="1"/>
      <c r="L130" s="1"/>
      <c r="M130" s="1"/>
      <c r="O130" s="635"/>
      <c r="P130" s="634"/>
    </row>
    <row r="131" spans="6:16" ht="15.75" hidden="1" customHeight="1">
      <c r="F131" s="1"/>
      <c r="H131" s="563"/>
      <c r="I131" s="563"/>
      <c r="J131" s="1"/>
      <c r="K131" s="1"/>
      <c r="L131" s="1"/>
      <c r="M131" s="1"/>
      <c r="O131" s="635"/>
      <c r="P131" s="634"/>
    </row>
    <row r="132" spans="6:16" ht="15.75" hidden="1" customHeight="1">
      <c r="F132" s="1"/>
      <c r="H132" s="563"/>
      <c r="I132" s="563"/>
      <c r="J132" s="1"/>
      <c r="K132" s="1"/>
      <c r="L132" s="1"/>
      <c r="M132" s="1"/>
      <c r="O132" s="635"/>
      <c r="P132" s="634"/>
    </row>
    <row r="133" spans="6:16" ht="15.75" hidden="1" customHeight="1">
      <c r="F133" s="1"/>
      <c r="H133" s="563"/>
      <c r="I133" s="563"/>
      <c r="J133" s="1"/>
      <c r="K133" s="1"/>
      <c r="L133" s="1"/>
      <c r="M133" s="1"/>
      <c r="O133" s="635"/>
      <c r="P133" s="634"/>
    </row>
    <row r="134" spans="6:16" ht="15.75" hidden="1" customHeight="1">
      <c r="F134" s="1"/>
      <c r="H134" s="563"/>
      <c r="I134" s="563"/>
      <c r="J134" s="1"/>
      <c r="K134" s="1"/>
      <c r="L134" s="1"/>
      <c r="M134" s="1"/>
      <c r="O134" s="635"/>
      <c r="P134" s="634"/>
    </row>
    <row r="135" spans="6:16" ht="15.75" hidden="1" customHeight="1">
      <c r="F135" s="1"/>
      <c r="H135" s="563"/>
      <c r="I135" s="563"/>
      <c r="J135" s="1"/>
      <c r="K135" s="1"/>
      <c r="L135" s="1"/>
      <c r="M135" s="1"/>
      <c r="O135" s="635"/>
      <c r="P135" s="634"/>
    </row>
    <row r="136" spans="6:16" ht="15.75" hidden="1" customHeight="1">
      <c r="F136" s="1"/>
      <c r="H136" s="563"/>
      <c r="I136" s="563"/>
      <c r="J136" s="1"/>
      <c r="K136" s="1"/>
      <c r="L136" s="1"/>
      <c r="M136" s="1"/>
      <c r="O136" s="635"/>
      <c r="P136" s="634"/>
    </row>
    <row r="137" spans="6:16" ht="15.75" hidden="1" customHeight="1">
      <c r="F137" s="1"/>
      <c r="H137" s="563"/>
      <c r="I137" s="563"/>
      <c r="J137" s="1"/>
      <c r="K137" s="1"/>
      <c r="L137" s="1"/>
      <c r="M137" s="1"/>
      <c r="O137" s="635"/>
      <c r="P137" s="634"/>
    </row>
    <row r="138" spans="6:16" ht="15.75" hidden="1" customHeight="1">
      <c r="F138" s="1"/>
      <c r="H138" s="563"/>
      <c r="I138" s="563"/>
      <c r="J138" s="1"/>
      <c r="K138" s="1"/>
      <c r="L138" s="1"/>
      <c r="M138" s="1"/>
      <c r="O138" s="635"/>
      <c r="P138" s="634"/>
    </row>
    <row r="139" spans="6:16" ht="15.75" hidden="1" customHeight="1">
      <c r="F139" s="1"/>
      <c r="H139" s="563"/>
      <c r="I139" s="563"/>
      <c r="J139" s="1"/>
      <c r="K139" s="1"/>
      <c r="L139" s="1"/>
      <c r="M139" s="1"/>
      <c r="O139" s="635"/>
      <c r="P139" s="634"/>
    </row>
    <row r="140" spans="6:16" ht="15.75" hidden="1" customHeight="1">
      <c r="F140" s="1"/>
      <c r="H140" s="563"/>
      <c r="I140" s="563"/>
      <c r="J140" s="1"/>
      <c r="K140" s="1"/>
      <c r="L140" s="1"/>
      <c r="M140" s="1"/>
      <c r="O140" s="635"/>
      <c r="P140" s="634"/>
    </row>
    <row r="141" spans="6:16" ht="15.75" hidden="1" customHeight="1">
      <c r="F141" s="1"/>
      <c r="H141" s="563"/>
      <c r="I141" s="563"/>
      <c r="J141" s="1"/>
      <c r="K141" s="1"/>
      <c r="L141" s="1"/>
      <c r="M141" s="1"/>
      <c r="O141" s="635"/>
      <c r="P141" s="634"/>
    </row>
    <row r="142" spans="6:16" ht="15.75" hidden="1" customHeight="1">
      <c r="F142" s="1"/>
      <c r="H142" s="563"/>
      <c r="I142" s="563"/>
      <c r="J142" s="1"/>
      <c r="K142" s="1"/>
      <c r="L142" s="1"/>
      <c r="M142" s="1"/>
      <c r="O142" s="635"/>
      <c r="P142" s="634"/>
    </row>
    <row r="143" spans="6:16" ht="15.75" hidden="1" customHeight="1">
      <c r="F143" s="1"/>
      <c r="H143" s="563"/>
      <c r="I143" s="563"/>
      <c r="J143" s="1"/>
      <c r="K143" s="1"/>
      <c r="L143" s="1"/>
      <c r="M143" s="1"/>
      <c r="O143" s="635"/>
      <c r="P143" s="634"/>
    </row>
    <row r="144" spans="6:16" ht="15.75" hidden="1" customHeight="1">
      <c r="F144" s="1"/>
      <c r="H144" s="563"/>
      <c r="I144" s="563"/>
      <c r="J144" s="1"/>
      <c r="K144" s="1"/>
      <c r="L144" s="1"/>
      <c r="M144" s="1"/>
      <c r="O144" s="635"/>
      <c r="P144" s="634"/>
    </row>
    <row r="145" spans="6:16" ht="15.75" hidden="1" customHeight="1">
      <c r="F145" s="1"/>
      <c r="H145" s="563"/>
      <c r="I145" s="563"/>
      <c r="J145" s="1"/>
      <c r="K145" s="1"/>
      <c r="L145" s="1"/>
      <c r="M145" s="1"/>
      <c r="O145" s="635"/>
      <c r="P145" s="634"/>
    </row>
    <row r="146" spans="6:16" ht="15.75" hidden="1" customHeight="1">
      <c r="F146" s="1"/>
      <c r="H146" s="563"/>
      <c r="I146" s="563"/>
      <c r="J146" s="1"/>
      <c r="K146" s="1"/>
      <c r="L146" s="1"/>
      <c r="M146" s="1"/>
      <c r="O146" s="635"/>
      <c r="P146" s="634"/>
    </row>
    <row r="147" spans="6:16" ht="15.75" hidden="1" customHeight="1">
      <c r="F147" s="1"/>
      <c r="H147" s="563"/>
      <c r="I147" s="563"/>
      <c r="J147" s="1"/>
      <c r="K147" s="1"/>
      <c r="L147" s="1"/>
      <c r="M147" s="1"/>
      <c r="O147" s="635"/>
      <c r="P147" s="634"/>
    </row>
    <row r="148" spans="6:16" ht="15.75" hidden="1" customHeight="1">
      <c r="F148" s="1"/>
      <c r="H148" s="563"/>
      <c r="I148" s="563"/>
      <c r="J148" s="1"/>
      <c r="K148" s="1"/>
      <c r="L148" s="1"/>
      <c r="M148" s="1"/>
      <c r="O148" s="635"/>
      <c r="P148" s="634"/>
    </row>
    <row r="149" spans="6:16" ht="15.75" hidden="1" customHeight="1">
      <c r="F149" s="1"/>
      <c r="H149" s="563"/>
      <c r="I149" s="563"/>
      <c r="J149" s="1"/>
      <c r="K149" s="1"/>
      <c r="L149" s="1"/>
      <c r="M149" s="1"/>
      <c r="O149" s="635"/>
      <c r="P149" s="634"/>
    </row>
    <row r="150" spans="6:16" ht="15.75" hidden="1" customHeight="1">
      <c r="F150" s="1"/>
      <c r="H150" s="563"/>
      <c r="I150" s="563"/>
      <c r="J150" s="1"/>
      <c r="K150" s="1"/>
      <c r="L150" s="1"/>
      <c r="M150" s="1"/>
      <c r="O150" s="635"/>
      <c r="P150" s="634"/>
    </row>
    <row r="151" spans="6:16" ht="15.75" hidden="1" customHeight="1">
      <c r="F151" s="1"/>
      <c r="H151" s="563"/>
      <c r="I151" s="563"/>
      <c r="J151" s="1"/>
      <c r="K151" s="1"/>
      <c r="L151" s="1"/>
      <c r="M151" s="1"/>
      <c r="O151" s="635"/>
      <c r="P151" s="634"/>
    </row>
    <row r="152" spans="6:16" ht="15.75" hidden="1" customHeight="1">
      <c r="F152" s="1"/>
      <c r="H152" s="563"/>
      <c r="I152" s="563"/>
      <c r="J152" s="1"/>
      <c r="K152" s="1"/>
      <c r="L152" s="1"/>
      <c r="M152" s="1"/>
      <c r="O152" s="635"/>
      <c r="P152" s="634"/>
    </row>
    <row r="153" spans="6:16" ht="15.75" hidden="1" customHeight="1">
      <c r="F153" s="1"/>
      <c r="H153" s="563"/>
      <c r="I153" s="563"/>
      <c r="J153" s="1"/>
      <c r="K153" s="1"/>
      <c r="L153" s="1"/>
      <c r="M153" s="1"/>
      <c r="O153" s="635"/>
      <c r="P153" s="634"/>
    </row>
    <row r="154" spans="6:16" ht="15.75" hidden="1" customHeight="1">
      <c r="F154" s="1"/>
      <c r="H154" s="563"/>
      <c r="I154" s="563"/>
      <c r="J154" s="1"/>
      <c r="K154" s="1"/>
      <c r="L154" s="1"/>
      <c r="M154" s="1"/>
      <c r="O154" s="635"/>
      <c r="P154" s="634"/>
    </row>
    <row r="155" spans="6:16" ht="15.75" hidden="1" customHeight="1">
      <c r="F155" s="1"/>
      <c r="H155" s="563"/>
      <c r="I155" s="563"/>
      <c r="J155" s="1"/>
      <c r="K155" s="1"/>
      <c r="L155" s="1"/>
      <c r="M155" s="1"/>
      <c r="O155" s="635"/>
      <c r="P155" s="634"/>
    </row>
    <row r="156" spans="6:16" ht="15.75" hidden="1" customHeight="1">
      <c r="F156" s="1"/>
      <c r="H156" s="563"/>
      <c r="I156" s="563"/>
      <c r="J156" s="1"/>
      <c r="K156" s="1"/>
      <c r="L156" s="1"/>
      <c r="M156" s="1"/>
      <c r="O156" s="635"/>
      <c r="P156" s="634"/>
    </row>
    <row r="157" spans="6:16" ht="15.75" hidden="1" customHeight="1">
      <c r="F157" s="1"/>
      <c r="H157" s="563"/>
      <c r="I157" s="563"/>
      <c r="J157" s="1"/>
      <c r="K157" s="1"/>
      <c r="L157" s="1"/>
      <c r="M157" s="1"/>
      <c r="O157" s="635"/>
      <c r="P157" s="634"/>
    </row>
    <row r="158" spans="6:16" ht="15.75" hidden="1" customHeight="1">
      <c r="F158" s="1"/>
      <c r="H158" s="563"/>
      <c r="I158" s="563"/>
      <c r="J158" s="1"/>
      <c r="K158" s="1"/>
      <c r="L158" s="1"/>
      <c r="M158" s="1"/>
      <c r="O158" s="635"/>
      <c r="P158" s="634"/>
    </row>
    <row r="159" spans="6:16" ht="15.75" hidden="1" customHeight="1">
      <c r="F159" s="1"/>
      <c r="H159" s="563"/>
      <c r="I159" s="563"/>
      <c r="J159" s="1"/>
      <c r="K159" s="1"/>
      <c r="L159" s="1"/>
      <c r="M159" s="1"/>
      <c r="O159" s="635"/>
      <c r="P159" s="634"/>
    </row>
    <row r="160" spans="6:16" ht="15.75" hidden="1" customHeight="1">
      <c r="F160" s="1"/>
      <c r="H160" s="563"/>
      <c r="I160" s="563"/>
      <c r="J160" s="1"/>
      <c r="K160" s="1"/>
      <c r="L160" s="1"/>
      <c r="M160" s="1"/>
      <c r="O160" s="635"/>
      <c r="P160" s="634"/>
    </row>
    <row r="161" spans="6:16" ht="15.75" hidden="1" customHeight="1">
      <c r="F161" s="1"/>
      <c r="H161" s="563"/>
      <c r="I161" s="563"/>
      <c r="J161" s="1"/>
      <c r="K161" s="1"/>
      <c r="L161" s="1"/>
      <c r="M161" s="1"/>
      <c r="O161" s="635"/>
      <c r="P161" s="634"/>
    </row>
    <row r="162" spans="6:16" ht="15.75" hidden="1" customHeight="1">
      <c r="F162" s="1"/>
      <c r="H162" s="563"/>
      <c r="I162" s="563"/>
      <c r="J162" s="1"/>
      <c r="K162" s="1"/>
      <c r="L162" s="1"/>
      <c r="M162" s="1"/>
      <c r="O162" s="635"/>
      <c r="P162" s="634"/>
    </row>
    <row r="163" spans="6:16" ht="15.75" hidden="1" customHeight="1">
      <c r="F163" s="1"/>
      <c r="H163" s="563"/>
      <c r="I163" s="563"/>
      <c r="J163" s="1"/>
      <c r="K163" s="1"/>
      <c r="L163" s="1"/>
      <c r="M163" s="1"/>
      <c r="O163" s="635"/>
      <c r="P163" s="634"/>
    </row>
    <row r="164" spans="6:16" ht="15.75" hidden="1" customHeight="1">
      <c r="F164" s="1"/>
      <c r="H164" s="563"/>
      <c r="I164" s="563"/>
      <c r="J164" s="1"/>
      <c r="K164" s="1"/>
      <c r="L164" s="1"/>
      <c r="M164" s="1"/>
      <c r="O164" s="635"/>
      <c r="P164" s="634"/>
    </row>
    <row r="165" spans="6:16" ht="15.75" hidden="1" customHeight="1">
      <c r="F165" s="1"/>
      <c r="H165" s="563"/>
      <c r="I165" s="563"/>
      <c r="J165" s="1"/>
      <c r="K165" s="1"/>
      <c r="L165" s="1"/>
      <c r="M165" s="1"/>
      <c r="O165" s="635"/>
      <c r="P165" s="634"/>
    </row>
    <row r="166" spans="6:16" ht="15.75" hidden="1" customHeight="1">
      <c r="F166" s="1"/>
      <c r="H166" s="563"/>
      <c r="I166" s="563"/>
      <c r="J166" s="1"/>
      <c r="K166" s="1"/>
      <c r="L166" s="1"/>
      <c r="M166" s="1"/>
      <c r="O166" s="635"/>
      <c r="P166" s="634"/>
    </row>
    <row r="167" spans="6:16" ht="15.75" hidden="1" customHeight="1">
      <c r="F167" s="1"/>
      <c r="H167" s="563"/>
      <c r="I167" s="563"/>
      <c r="J167" s="1"/>
      <c r="K167" s="1"/>
      <c r="L167" s="1"/>
      <c r="M167" s="1"/>
      <c r="O167" s="635"/>
      <c r="P167" s="634"/>
    </row>
    <row r="168" spans="6:16" ht="15.75" hidden="1" customHeight="1">
      <c r="F168" s="1"/>
      <c r="H168" s="563"/>
      <c r="I168" s="563"/>
      <c r="J168" s="1"/>
      <c r="K168" s="1"/>
      <c r="L168" s="1"/>
      <c r="M168" s="1"/>
      <c r="O168" s="635"/>
      <c r="P168" s="634"/>
    </row>
    <row r="169" spans="6:16" ht="15.75" hidden="1" customHeight="1">
      <c r="F169" s="1"/>
      <c r="H169" s="563"/>
      <c r="I169" s="563"/>
      <c r="J169" s="1"/>
      <c r="K169" s="1"/>
      <c r="L169" s="1"/>
      <c r="M169" s="1"/>
      <c r="O169" s="635"/>
      <c r="P169" s="634"/>
    </row>
    <row r="170" spans="6:16" ht="15.75" hidden="1" customHeight="1">
      <c r="F170" s="1"/>
      <c r="H170" s="563"/>
      <c r="I170" s="563"/>
      <c r="J170" s="1"/>
      <c r="K170" s="1"/>
      <c r="L170" s="1"/>
      <c r="M170" s="1"/>
      <c r="O170" s="635"/>
      <c r="P170" s="634"/>
    </row>
    <row r="171" spans="6:16" ht="15.75" hidden="1" customHeight="1">
      <c r="F171" s="1"/>
      <c r="H171" s="563"/>
      <c r="I171" s="563"/>
      <c r="J171" s="1"/>
      <c r="K171" s="1"/>
      <c r="L171" s="1"/>
      <c r="M171" s="1"/>
      <c r="O171" s="635"/>
      <c r="P171" s="634"/>
    </row>
    <row r="172" spans="6:16" ht="15.75" hidden="1" customHeight="1">
      <c r="F172" s="1"/>
      <c r="H172" s="563"/>
      <c r="I172" s="563"/>
      <c r="J172" s="1"/>
      <c r="K172" s="1"/>
      <c r="L172" s="1"/>
      <c r="M172" s="1"/>
      <c r="O172" s="635"/>
      <c r="P172" s="634"/>
    </row>
    <row r="173" spans="6:16" ht="15.75" hidden="1" customHeight="1">
      <c r="F173" s="1"/>
      <c r="H173" s="563"/>
      <c r="I173" s="563"/>
      <c r="J173" s="1"/>
      <c r="K173" s="1"/>
      <c r="L173" s="1"/>
      <c r="M173" s="1"/>
      <c r="O173" s="635"/>
      <c r="P173" s="634"/>
    </row>
    <row r="174" spans="6:16" ht="15.75" hidden="1" customHeight="1">
      <c r="F174" s="1"/>
      <c r="H174" s="563"/>
      <c r="I174" s="563"/>
      <c r="J174" s="1"/>
      <c r="K174" s="1"/>
      <c r="L174" s="1"/>
      <c r="M174" s="1"/>
      <c r="O174" s="635"/>
      <c r="P174" s="634"/>
    </row>
    <row r="175" spans="6:16" ht="15.75" hidden="1" customHeight="1">
      <c r="F175" s="1"/>
      <c r="H175" s="563"/>
      <c r="I175" s="563"/>
      <c r="J175" s="1"/>
      <c r="K175" s="1"/>
      <c r="L175" s="1"/>
      <c r="M175" s="1"/>
      <c r="O175" s="635"/>
      <c r="P175" s="634"/>
    </row>
    <row r="176" spans="6:16" ht="15.75" hidden="1" customHeight="1">
      <c r="F176" s="1"/>
      <c r="H176" s="563"/>
      <c r="I176" s="563"/>
      <c r="J176" s="1"/>
      <c r="K176" s="1"/>
      <c r="L176" s="1"/>
      <c r="M176" s="1"/>
      <c r="O176" s="635"/>
      <c r="P176" s="634"/>
    </row>
    <row r="177" spans="1:24" ht="15.75" hidden="1" customHeight="1">
      <c r="F177" s="1"/>
      <c r="H177" s="563"/>
      <c r="I177" s="563"/>
      <c r="J177" s="1"/>
      <c r="K177" s="1"/>
      <c r="L177" s="1"/>
      <c r="M177" s="1"/>
      <c r="O177" s="635"/>
      <c r="P177" s="634"/>
    </row>
    <row r="178" spans="1:24" ht="210.75" hidden="1" customHeight="1">
      <c r="F178" s="1"/>
      <c r="H178" s="563"/>
      <c r="I178" s="563"/>
      <c r="J178" s="1"/>
      <c r="K178" s="1"/>
      <c r="L178" s="1"/>
      <c r="M178" s="1"/>
      <c r="O178" s="635"/>
      <c r="P178" s="634"/>
    </row>
    <row r="179" spans="1:24" ht="210.75" hidden="1" customHeight="1">
      <c r="F179" s="1"/>
      <c r="H179" s="563"/>
      <c r="I179" s="563"/>
      <c r="J179" s="1"/>
      <c r="K179" s="1"/>
      <c r="L179" s="1"/>
      <c r="M179" s="1"/>
      <c r="O179" s="635"/>
    </row>
    <row r="180" spans="1:24" ht="34.5" hidden="1" customHeight="1">
      <c r="F180" s="1"/>
      <c r="H180" s="563"/>
      <c r="I180" s="563"/>
      <c r="J180" s="1"/>
      <c r="K180" s="1"/>
      <c r="L180" s="1"/>
      <c r="M180" s="1"/>
      <c r="O180" s="635"/>
    </row>
    <row r="181" spans="1:24" ht="47.25" hidden="1" customHeight="1">
      <c r="F181" s="1"/>
      <c r="H181" s="563"/>
      <c r="I181" s="563"/>
      <c r="J181" s="1"/>
      <c r="K181" s="1"/>
      <c r="L181" s="1"/>
      <c r="M181" s="1"/>
      <c r="O181" s="635"/>
    </row>
    <row r="182" spans="1:24" ht="42.75" hidden="1" customHeight="1">
      <c r="F182" s="1"/>
      <c r="H182" s="563"/>
      <c r="I182" s="563"/>
      <c r="J182" s="1"/>
      <c r="K182" s="1"/>
      <c r="L182" s="1"/>
      <c r="M182" s="1"/>
      <c r="O182" s="635"/>
    </row>
    <row r="183" spans="1:24" s="10" customFormat="1" ht="67.5" hidden="1" customHeight="1">
      <c r="A183" s="1"/>
      <c r="B183" s="562"/>
      <c r="C183" s="3"/>
      <c r="D183" s="3"/>
      <c r="E183" s="1"/>
      <c r="F183" s="1"/>
      <c r="G183" s="749"/>
      <c r="H183" s="563"/>
      <c r="I183" s="563"/>
      <c r="J183" s="1"/>
      <c r="K183" s="1"/>
      <c r="L183" s="1"/>
      <c r="M183" s="1"/>
      <c r="N183" s="1"/>
      <c r="O183" s="635"/>
      <c r="Q183" s="11"/>
      <c r="R183" s="11"/>
      <c r="S183" s="11"/>
      <c r="T183" s="11"/>
      <c r="U183" s="11"/>
      <c r="V183" s="11"/>
      <c r="W183" s="11"/>
      <c r="X183" s="11"/>
    </row>
    <row r="184" spans="1:24" s="10" customFormat="1" ht="60" hidden="1" customHeight="1">
      <c r="A184" s="1"/>
      <c r="B184" s="562"/>
      <c r="C184" s="3"/>
      <c r="D184" s="3"/>
      <c r="E184" s="1"/>
      <c r="F184" s="4"/>
      <c r="G184" s="749"/>
      <c r="H184" s="6"/>
      <c r="I184" s="6"/>
      <c r="J184" s="1"/>
      <c r="K184" s="1"/>
      <c r="L184" s="1"/>
      <c r="M184" s="1"/>
      <c r="N184" s="1"/>
      <c r="O184" s="635"/>
      <c r="Q184" s="11"/>
      <c r="R184" s="11"/>
      <c r="S184" s="11"/>
      <c r="T184" s="11"/>
      <c r="U184" s="11"/>
      <c r="V184" s="11"/>
      <c r="W184" s="11"/>
      <c r="X184" s="11"/>
    </row>
    <row r="185" spans="1:24" s="10" customFormat="1" ht="30" hidden="1" customHeight="1">
      <c r="A185" s="1"/>
      <c r="B185" s="562"/>
      <c r="C185" s="3"/>
      <c r="D185" s="3"/>
      <c r="E185" s="1"/>
      <c r="F185" s="4"/>
      <c r="G185" s="749"/>
      <c r="H185" s="6"/>
      <c r="I185" s="6"/>
      <c r="J185" s="1"/>
      <c r="K185" s="1"/>
      <c r="L185" s="1"/>
      <c r="M185" s="1"/>
      <c r="N185" s="1"/>
      <c r="O185" s="635"/>
      <c r="Q185" s="11"/>
      <c r="R185" s="11"/>
      <c r="S185" s="11"/>
      <c r="T185" s="11"/>
      <c r="U185" s="11"/>
      <c r="V185" s="11"/>
      <c r="W185" s="11"/>
      <c r="X185" s="11"/>
    </row>
    <row r="186" spans="1:24" s="10" customFormat="1" ht="78" hidden="1" customHeight="1">
      <c r="A186" s="1"/>
      <c r="B186" s="562"/>
      <c r="C186" s="3"/>
      <c r="D186" s="3"/>
      <c r="E186" s="1"/>
      <c r="F186" s="4"/>
      <c r="G186" s="749"/>
      <c r="H186" s="6"/>
      <c r="I186" s="6"/>
      <c r="J186" s="1"/>
      <c r="K186" s="1"/>
      <c r="L186" s="1"/>
      <c r="M186" s="8"/>
      <c r="N186" s="1"/>
      <c r="O186" s="9"/>
      <c r="Q186" s="11"/>
      <c r="R186" s="11"/>
      <c r="S186" s="11"/>
      <c r="T186" s="11"/>
      <c r="U186" s="11"/>
      <c r="V186" s="11"/>
      <c r="W186" s="11"/>
      <c r="X186" s="11"/>
    </row>
    <row r="187" spans="1:24" s="10" customFormat="1" ht="115.5" hidden="1" customHeight="1">
      <c r="A187" s="1"/>
      <c r="B187" s="562"/>
      <c r="C187" s="3"/>
      <c r="D187" s="3"/>
      <c r="E187" s="1"/>
      <c r="F187" s="4"/>
      <c r="G187" s="749"/>
      <c r="H187" s="6"/>
      <c r="I187" s="6"/>
      <c r="J187" s="7"/>
      <c r="K187" s="7"/>
      <c r="L187" s="7"/>
      <c r="M187" s="8"/>
      <c r="N187" s="1"/>
      <c r="O187" s="9"/>
      <c r="Q187" s="11"/>
      <c r="R187" s="11"/>
      <c r="S187" s="11"/>
      <c r="T187" s="11"/>
      <c r="U187" s="11"/>
      <c r="V187" s="11"/>
      <c r="W187" s="11"/>
      <c r="X187" s="11"/>
    </row>
    <row r="188" spans="1:24" hidden="1"/>
    <row r="189" spans="1:24" hidden="1"/>
    <row r="190" spans="1:24" hidden="1"/>
    <row r="191" spans="1:24" hidden="1"/>
    <row r="192" spans="1:24"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319" spans="2:24" s="1" customFormat="1">
      <c r="B319" s="562"/>
      <c r="C319" s="3"/>
      <c r="D319" s="3"/>
      <c r="F319" s="4"/>
      <c r="G319" s="749"/>
      <c r="H319" s="6"/>
      <c r="I319" s="6"/>
      <c r="J319" s="7"/>
      <c r="K319" s="7"/>
      <c r="L319" s="7"/>
      <c r="M319" s="8">
        <f>SUM(M10:M60)</f>
        <v>4492593</v>
      </c>
      <c r="O319" s="9"/>
      <c r="P319" s="10"/>
      <c r="Q319" s="11"/>
      <c r="R319" s="11"/>
      <c r="S319" s="11"/>
      <c r="T319" s="11"/>
      <c r="U319" s="11"/>
      <c r="V319" s="11"/>
      <c r="W319" s="11"/>
      <c r="X319" s="11"/>
    </row>
    <row r="320" spans="2:24" s="1" customFormat="1">
      <c r="B320" s="562"/>
      <c r="C320" s="3"/>
      <c r="D320" s="3"/>
      <c r="F320" s="4"/>
      <c r="G320" s="749"/>
      <c r="H320" s="6"/>
      <c r="I320" s="6"/>
      <c r="J320" s="7">
        <f>SUM(J10:J60)</f>
        <v>31191881</v>
      </c>
      <c r="K320" s="7"/>
      <c r="L320" s="7"/>
      <c r="M320" s="8">
        <f>M61-M319</f>
        <v>0</v>
      </c>
      <c r="O320" s="9"/>
      <c r="P320" s="10"/>
      <c r="Q320" s="11"/>
      <c r="R320" s="11"/>
      <c r="S320" s="11"/>
      <c r="T320" s="11"/>
      <c r="U320" s="11"/>
      <c r="V320" s="11"/>
      <c r="W320" s="11"/>
      <c r="X320" s="11"/>
    </row>
    <row r="321" spans="2:24" s="1" customFormat="1">
      <c r="B321" s="562"/>
      <c r="C321" s="3"/>
      <c r="D321" s="3"/>
      <c r="F321" s="4"/>
      <c r="G321" s="749"/>
      <c r="H321" s="6"/>
      <c r="I321" s="6"/>
      <c r="J321" s="7">
        <f>J61-J320</f>
        <v>0</v>
      </c>
      <c r="K321" s="7"/>
      <c r="L321" s="7"/>
      <c r="M321" s="8"/>
      <c r="O321" s="9"/>
      <c r="P321" s="10"/>
      <c r="Q321" s="11"/>
      <c r="R321" s="11"/>
      <c r="S321" s="11"/>
      <c r="T321" s="11"/>
      <c r="U321" s="11"/>
      <c r="V321" s="11"/>
      <c r="W321" s="11"/>
      <c r="X321" s="11"/>
    </row>
    <row r="326" spans="2:24" s="1" customFormat="1" ht="12.75" customHeight="1">
      <c r="B326" s="562"/>
      <c r="C326" s="3"/>
      <c r="D326" s="3"/>
      <c r="F326" s="4"/>
      <c r="G326" s="749"/>
      <c r="H326" s="6"/>
      <c r="I326" s="6"/>
      <c r="J326" s="7"/>
      <c r="K326" s="7"/>
      <c r="L326" s="7"/>
      <c r="M326" s="8"/>
      <c r="O326" s="9"/>
      <c r="P326" s="10"/>
      <c r="Q326" s="11"/>
      <c r="R326" s="11"/>
      <c r="S326" s="11"/>
      <c r="T326" s="11"/>
      <c r="U326" s="11"/>
      <c r="V326" s="11"/>
      <c r="W326" s="11"/>
      <c r="X326" s="11"/>
    </row>
  </sheetData>
  <autoFilter ref="A7:P61">
    <filterColumn colId="3">
      <filters>
        <filter val="CFR"/>
        <filter val="CNAIR"/>
        <filter val="METROREX"/>
        <filter val="NAVAL"/>
      </filters>
    </filterColumn>
  </autoFilter>
  <mergeCells count="21">
    <mergeCell ref="A3:P3"/>
    <mergeCell ref="A4:P4"/>
    <mergeCell ref="A7:A8"/>
    <mergeCell ref="B7:B8"/>
    <mergeCell ref="C7:C8"/>
    <mergeCell ref="D7:D8"/>
    <mergeCell ref="E7:E8"/>
    <mergeCell ref="F7:F8"/>
    <mergeCell ref="G7:G8"/>
    <mergeCell ref="H7:H8"/>
    <mergeCell ref="I7:I8"/>
    <mergeCell ref="J7:J8"/>
    <mergeCell ref="K7:K8"/>
    <mergeCell ref="L7:L8"/>
    <mergeCell ref="M7:M8"/>
    <mergeCell ref="N7:N8"/>
    <mergeCell ref="O7:P7"/>
    <mergeCell ref="A61:B61"/>
    <mergeCell ref="P78:Q78"/>
    <mergeCell ref="R78:S78"/>
    <mergeCell ref="Q81:S81"/>
  </mergeCells>
  <printOptions horizontalCentered="1"/>
  <pageMargins left="0.23611111111111099" right="0.23611111111111099" top="0.74791666666666701" bottom="0.74791666666666701" header="0.511811023622047" footer="0.31527777777777799"/>
  <pageSetup paperSize="8" fitToHeight="0" orientation="landscape" useFirstPageNumber="1" horizontalDpi="300" verticalDpi="300"/>
  <headerFooter>
    <oddFooter>&amp;C&amp;P</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98"/>
  <sheetViews>
    <sheetView showRuler="0" view="pageBreakPreview" topLeftCell="A70" zoomScaleNormal="100" zoomScaleSheetLayoutView="100" workbookViewId="0">
      <selection activeCell="D79" sqref="D79"/>
    </sheetView>
  </sheetViews>
  <sheetFormatPr defaultColWidth="9.140625" defaultRowHeight="15.75"/>
  <cols>
    <col min="1" max="1" width="6.5703125" style="246" customWidth="1"/>
    <col min="2" max="2" width="31.140625" style="832" customWidth="1"/>
    <col min="3" max="3" width="9.140625" style="832"/>
    <col min="4" max="4" width="12.5703125" style="833" customWidth="1"/>
    <col min="5" max="5" width="6.5703125" style="833" customWidth="1"/>
    <col min="6" max="6" width="9" style="833" customWidth="1"/>
    <col min="7" max="7" width="10.5703125" style="246" customWidth="1"/>
    <col min="8" max="8" width="9.5703125" style="455" customWidth="1"/>
    <col min="9" max="9" width="13" style="486" customWidth="1"/>
    <col min="10" max="10" width="11.5703125" style="834" customWidth="1"/>
    <col min="11" max="11" width="11.85546875" style="835" customWidth="1"/>
    <col min="12" max="12" width="12.42578125" style="836" customWidth="1"/>
    <col min="13" max="13" width="33" style="246" customWidth="1"/>
    <col min="14" max="14" width="61.5703125" style="246" customWidth="1"/>
    <col min="15" max="15" width="18.140625" style="246" customWidth="1"/>
    <col min="16" max="75" width="9.140625" style="1170"/>
    <col min="76" max="192" width="9.140625" style="246"/>
    <col min="193" max="193" width="6.28515625" style="246" customWidth="1"/>
    <col min="194" max="194" width="51.85546875" style="246" customWidth="1"/>
    <col min="195" max="195" width="21" style="246" customWidth="1"/>
    <col min="196" max="196" width="9.140625" style="246"/>
    <col min="197" max="197" width="9.42578125" style="246" customWidth="1"/>
    <col min="198" max="198" width="14.42578125" style="246" customWidth="1"/>
    <col min="199" max="199" width="14.7109375" style="246" customWidth="1"/>
    <col min="200" max="200" width="14.85546875" style="246" customWidth="1"/>
    <col min="201" max="201" width="16.140625" style="246" customWidth="1"/>
    <col min="202" max="202" width="25.140625" style="246" customWidth="1"/>
    <col min="203" max="203" width="20" style="246" customWidth="1"/>
    <col min="204" max="204" width="19.140625" style="246" customWidth="1"/>
    <col min="205" max="215" width="11.5703125" style="246" hidden="1" customWidth="1"/>
    <col min="216" max="216" width="21.85546875" style="246" customWidth="1"/>
    <col min="217" max="217" width="21" style="246" customWidth="1"/>
    <col min="218" max="219" width="21.5703125" style="246" customWidth="1"/>
    <col min="220" max="220" width="22" style="246" customWidth="1"/>
    <col min="221" max="221" width="11.5703125" style="246" hidden="1" customWidth="1"/>
    <col min="222" max="222" width="44.5703125" style="246" customWidth="1"/>
    <col min="223" max="223" width="16.28515625" style="246" customWidth="1"/>
    <col min="224" max="224" width="14.7109375" style="246" customWidth="1"/>
    <col min="225" max="225" width="11.5703125" style="246" hidden="1" customWidth="1"/>
    <col min="226" max="227" width="20.85546875" style="246" customWidth="1"/>
    <col min="228" max="228" width="18.28515625" style="246" customWidth="1"/>
    <col min="229" max="229" width="15.42578125" style="246" customWidth="1"/>
    <col min="230" max="230" width="18.85546875" style="246" customWidth="1"/>
    <col min="231" max="231" width="19.5703125" style="246" customWidth="1"/>
    <col min="232" max="448" width="9.140625" style="246"/>
    <col min="449" max="449" width="6.28515625" style="246" customWidth="1"/>
    <col min="450" max="450" width="51.85546875" style="246" customWidth="1"/>
    <col min="451" max="451" width="21" style="246" customWidth="1"/>
    <col min="452" max="452" width="9.140625" style="246"/>
    <col min="453" max="453" width="9.42578125" style="246" customWidth="1"/>
    <col min="454" max="454" width="14.42578125" style="246" customWidth="1"/>
    <col min="455" max="455" width="14.7109375" style="246" customWidth="1"/>
    <col min="456" max="456" width="14.85546875" style="246" customWidth="1"/>
    <col min="457" max="457" width="16.140625" style="246" customWidth="1"/>
    <col min="458" max="458" width="25.140625" style="246" customWidth="1"/>
    <col min="459" max="459" width="20" style="246" customWidth="1"/>
    <col min="460" max="460" width="19.140625" style="246" customWidth="1"/>
    <col min="461" max="471" width="11.5703125" style="246" hidden="1" customWidth="1"/>
    <col min="472" max="472" width="21.85546875" style="246" customWidth="1"/>
    <col min="473" max="473" width="21" style="246" customWidth="1"/>
    <col min="474" max="475" width="21.5703125" style="246" customWidth="1"/>
    <col min="476" max="476" width="22" style="246" customWidth="1"/>
    <col min="477" max="477" width="11.5703125" style="246" hidden="1" customWidth="1"/>
    <col min="478" max="478" width="44.5703125" style="246" customWidth="1"/>
    <col min="479" max="479" width="16.28515625" style="246" customWidth="1"/>
    <col min="480" max="480" width="14.7109375" style="246" customWidth="1"/>
    <col min="481" max="481" width="11.5703125" style="246" hidden="1" customWidth="1"/>
    <col min="482" max="483" width="20.85546875" style="246" customWidth="1"/>
    <col min="484" max="484" width="18.28515625" style="246" customWidth="1"/>
    <col min="485" max="485" width="15.42578125" style="246" customWidth="1"/>
    <col min="486" max="486" width="18.85546875" style="246" customWidth="1"/>
    <col min="487" max="487" width="19.5703125" style="246" customWidth="1"/>
    <col min="488" max="704" width="9.140625" style="246"/>
    <col min="705" max="705" width="6.28515625" style="246" customWidth="1"/>
    <col min="706" max="706" width="51.85546875" style="246" customWidth="1"/>
    <col min="707" max="707" width="21" style="246" customWidth="1"/>
    <col min="708" max="708" width="9.140625" style="246"/>
    <col min="709" max="709" width="9.42578125" style="246" customWidth="1"/>
    <col min="710" max="710" width="14.42578125" style="246" customWidth="1"/>
    <col min="711" max="711" width="14.7109375" style="246" customWidth="1"/>
    <col min="712" max="712" width="14.85546875" style="246" customWidth="1"/>
    <col min="713" max="713" width="16.140625" style="246" customWidth="1"/>
    <col min="714" max="714" width="25.140625" style="246" customWidth="1"/>
    <col min="715" max="715" width="20" style="246" customWidth="1"/>
    <col min="716" max="716" width="19.140625" style="246" customWidth="1"/>
    <col min="717" max="727" width="11.5703125" style="246" hidden="1" customWidth="1"/>
    <col min="728" max="728" width="21.85546875" style="246" customWidth="1"/>
    <col min="729" max="729" width="21" style="246" customWidth="1"/>
    <col min="730" max="731" width="21.5703125" style="246" customWidth="1"/>
    <col min="732" max="732" width="22" style="246" customWidth="1"/>
    <col min="733" max="733" width="11.5703125" style="246" hidden="1" customWidth="1"/>
    <col min="734" max="734" width="44.5703125" style="246" customWidth="1"/>
    <col min="735" max="735" width="16.28515625" style="246" customWidth="1"/>
    <col min="736" max="736" width="14.7109375" style="246" customWidth="1"/>
    <col min="737" max="737" width="11.5703125" style="246" hidden="1" customWidth="1"/>
    <col min="738" max="739" width="20.85546875" style="246" customWidth="1"/>
    <col min="740" max="740" width="18.28515625" style="246" customWidth="1"/>
    <col min="741" max="741" width="15.42578125" style="246" customWidth="1"/>
    <col min="742" max="742" width="18.85546875" style="246" customWidth="1"/>
    <col min="743" max="743" width="19.5703125" style="246" customWidth="1"/>
    <col min="744" max="960" width="9.140625" style="246"/>
    <col min="961" max="961" width="6.28515625" style="246" customWidth="1"/>
    <col min="962" max="962" width="51.85546875" style="246" customWidth="1"/>
    <col min="963" max="963" width="21" style="246" customWidth="1"/>
    <col min="964" max="964" width="9.140625" style="246"/>
    <col min="965" max="965" width="9.42578125" style="246" customWidth="1"/>
    <col min="966" max="966" width="14.42578125" style="246" customWidth="1"/>
    <col min="967" max="967" width="14.7109375" style="246" customWidth="1"/>
    <col min="968" max="968" width="14.85546875" style="246" customWidth="1"/>
    <col min="969" max="969" width="16.140625" style="246" customWidth="1"/>
    <col min="970" max="970" width="25.140625" style="246" customWidth="1"/>
    <col min="971" max="971" width="20" style="246" customWidth="1"/>
    <col min="972" max="972" width="19.140625" style="246" customWidth="1"/>
    <col min="973" max="983" width="11.5703125" style="246" hidden="1" customWidth="1"/>
    <col min="984" max="984" width="21.85546875" style="246" customWidth="1"/>
    <col min="985" max="985" width="21" style="246" customWidth="1"/>
    <col min="986" max="987" width="21.5703125" style="246" customWidth="1"/>
    <col min="988" max="988" width="22" style="246" customWidth="1"/>
    <col min="989" max="989" width="11.5703125" style="246" hidden="1" customWidth="1"/>
    <col min="990" max="990" width="44.5703125" style="246" customWidth="1"/>
    <col min="991" max="991" width="16.28515625" style="246" customWidth="1"/>
    <col min="992" max="992" width="14.7109375" style="246" customWidth="1"/>
    <col min="993" max="993" width="11.5703125" style="246" hidden="1" customWidth="1"/>
    <col min="994" max="995" width="20.85546875" style="246" customWidth="1"/>
    <col min="996" max="996" width="18.28515625" style="246" customWidth="1"/>
    <col min="997" max="997" width="15.42578125" style="246" customWidth="1"/>
    <col min="998" max="998" width="18.85546875" style="246" customWidth="1"/>
    <col min="999" max="999" width="19.5703125" style="246" customWidth="1"/>
    <col min="1000" max="1024" width="9.140625" style="246"/>
  </cols>
  <sheetData>
    <row r="1" spans="1:959" s="840" customFormat="1" ht="15">
      <c r="A1" s="841"/>
      <c r="B1" s="837"/>
      <c r="C1" s="837"/>
      <c r="D1" s="838"/>
      <c r="E1" s="838"/>
      <c r="F1" s="838"/>
      <c r="G1" s="838"/>
      <c r="H1" s="838"/>
      <c r="I1" s="838"/>
      <c r="J1" s="838"/>
      <c r="K1" s="838"/>
      <c r="L1" s="839"/>
      <c r="M1" s="838"/>
      <c r="P1" s="1158"/>
      <c r="Q1" s="1158"/>
      <c r="R1" s="1158"/>
      <c r="S1" s="1158"/>
      <c r="T1" s="1158"/>
      <c r="U1" s="1158"/>
      <c r="V1" s="1158"/>
      <c r="W1" s="1158"/>
      <c r="X1" s="1158"/>
      <c r="Y1" s="1158"/>
      <c r="Z1" s="1158"/>
      <c r="AA1" s="1158"/>
      <c r="AB1" s="1158"/>
      <c r="AC1" s="1158"/>
      <c r="AD1" s="1158"/>
      <c r="AE1" s="1158"/>
      <c r="AF1" s="1158"/>
      <c r="AG1" s="1158"/>
      <c r="AH1" s="1158"/>
      <c r="AI1" s="1158"/>
      <c r="AJ1" s="1158"/>
      <c r="AK1" s="1158"/>
      <c r="AL1" s="1158"/>
      <c r="AM1" s="1158"/>
      <c r="AN1" s="1158"/>
      <c r="AO1" s="1158"/>
      <c r="AP1" s="1158"/>
      <c r="AQ1" s="1158"/>
      <c r="AR1" s="1158"/>
      <c r="AS1" s="1158"/>
      <c r="AT1" s="1158"/>
      <c r="AU1" s="1158"/>
      <c r="AV1" s="1158"/>
      <c r="AW1" s="1158"/>
      <c r="AX1" s="1158"/>
      <c r="AY1" s="1158"/>
      <c r="AZ1" s="1158"/>
      <c r="BA1" s="1158"/>
      <c r="BB1" s="1158"/>
      <c r="BC1" s="1158"/>
      <c r="BD1" s="1158"/>
      <c r="BE1" s="1158"/>
      <c r="BF1" s="1158"/>
      <c r="BG1" s="1158"/>
      <c r="BH1" s="1158"/>
      <c r="BI1" s="1158"/>
      <c r="BJ1" s="1158"/>
      <c r="BK1" s="1158"/>
      <c r="BL1" s="1158"/>
      <c r="BM1" s="1158"/>
      <c r="BN1" s="1158"/>
      <c r="BO1" s="1158"/>
      <c r="BP1" s="1158"/>
      <c r="BQ1" s="1158"/>
      <c r="BR1" s="1158"/>
      <c r="BS1" s="1158"/>
      <c r="BT1" s="1158"/>
      <c r="BU1" s="1158"/>
      <c r="BV1" s="1158"/>
      <c r="BW1" s="1158"/>
    </row>
    <row r="2" spans="1:959" s="840" customFormat="1" ht="15">
      <c r="A2" s="841"/>
      <c r="B2" s="837" t="s">
        <v>444</v>
      </c>
      <c r="C2" s="837"/>
      <c r="D2" s="838"/>
      <c r="E2" s="838"/>
      <c r="F2" s="838"/>
      <c r="G2" s="838"/>
      <c r="H2" s="838"/>
      <c r="I2" s="838"/>
      <c r="J2" s="838"/>
      <c r="K2" s="838"/>
      <c r="L2" s="839"/>
      <c r="M2" s="838"/>
      <c r="N2" s="842" t="s">
        <v>709</v>
      </c>
      <c r="P2" s="1158"/>
      <c r="Q2" s="1158"/>
      <c r="R2" s="1158"/>
      <c r="S2" s="1158"/>
      <c r="T2" s="1158"/>
      <c r="U2" s="1158"/>
      <c r="V2" s="1158"/>
      <c r="W2" s="1158"/>
      <c r="X2" s="1158"/>
      <c r="Y2" s="1158"/>
      <c r="Z2" s="1158"/>
      <c r="AA2" s="1158"/>
      <c r="AB2" s="1158"/>
      <c r="AC2" s="1158"/>
      <c r="AD2" s="1158"/>
      <c r="AE2" s="1158"/>
      <c r="AF2" s="1158"/>
      <c r="AG2" s="1158"/>
      <c r="AH2" s="1158"/>
      <c r="AI2" s="1158"/>
      <c r="AJ2" s="1158"/>
      <c r="AK2" s="1158"/>
      <c r="AL2" s="1158"/>
      <c r="AM2" s="1158"/>
      <c r="AN2" s="1158"/>
      <c r="AO2" s="1158"/>
      <c r="AP2" s="1158"/>
      <c r="AQ2" s="1158"/>
      <c r="AR2" s="1158"/>
      <c r="AS2" s="1158"/>
      <c r="AT2" s="1158"/>
      <c r="AU2" s="1158"/>
      <c r="AV2" s="1158"/>
      <c r="AW2" s="1158"/>
      <c r="AX2" s="1158"/>
      <c r="AY2" s="1158"/>
      <c r="AZ2" s="1158"/>
      <c r="BA2" s="1158"/>
      <c r="BB2" s="1158"/>
      <c r="BC2" s="1158"/>
      <c r="BD2" s="1158"/>
      <c r="BE2" s="1158"/>
      <c r="BF2" s="1158"/>
      <c r="BG2" s="1158"/>
      <c r="BH2" s="1158"/>
      <c r="BI2" s="1158"/>
      <c r="BJ2" s="1158"/>
      <c r="BK2" s="1158"/>
      <c r="BL2" s="1158"/>
      <c r="BM2" s="1158"/>
      <c r="BN2" s="1158"/>
      <c r="BO2" s="1158"/>
      <c r="BP2" s="1158"/>
      <c r="BQ2" s="1158"/>
      <c r="BR2" s="1158"/>
      <c r="BS2" s="1158"/>
      <c r="BT2" s="1158"/>
      <c r="BU2" s="1158"/>
      <c r="BV2" s="1158"/>
      <c r="BW2" s="1158"/>
    </row>
    <row r="3" spans="1:959" s="840" customFormat="1" ht="15">
      <c r="A3" s="841"/>
      <c r="B3" s="837"/>
      <c r="C3" s="837"/>
      <c r="D3" s="838"/>
      <c r="E3" s="838"/>
      <c r="F3" s="838"/>
      <c r="G3" s="838"/>
      <c r="H3" s="838"/>
      <c r="I3" s="838"/>
      <c r="J3" s="838"/>
      <c r="K3" s="838"/>
      <c r="L3" s="839"/>
      <c r="M3" s="838"/>
      <c r="N3" s="842" t="s">
        <v>710</v>
      </c>
      <c r="P3" s="1158"/>
      <c r="Q3" s="1158"/>
      <c r="R3" s="1158"/>
      <c r="S3" s="1158"/>
      <c r="T3" s="1158"/>
      <c r="U3" s="1158"/>
      <c r="V3" s="1158"/>
      <c r="W3" s="1158"/>
      <c r="X3" s="1158"/>
      <c r="Y3" s="1158"/>
      <c r="Z3" s="1158"/>
      <c r="AA3" s="1158"/>
      <c r="AB3" s="1158"/>
      <c r="AC3" s="1158"/>
      <c r="AD3" s="1158"/>
      <c r="AE3" s="1158"/>
      <c r="AF3" s="1158"/>
      <c r="AG3" s="1158"/>
      <c r="AH3" s="1158"/>
      <c r="AI3" s="1158"/>
      <c r="AJ3" s="1158"/>
      <c r="AK3" s="1158"/>
      <c r="AL3" s="1158"/>
      <c r="AM3" s="1158"/>
      <c r="AN3" s="1158"/>
      <c r="AO3" s="1158"/>
      <c r="AP3" s="1158"/>
      <c r="AQ3" s="1158"/>
      <c r="AR3" s="1158"/>
      <c r="AS3" s="1158"/>
      <c r="AT3" s="1158"/>
      <c r="AU3" s="1158"/>
      <c r="AV3" s="1158"/>
      <c r="AW3" s="1158"/>
      <c r="AX3" s="1158"/>
      <c r="AY3" s="1158"/>
      <c r="AZ3" s="1158"/>
      <c r="BA3" s="1158"/>
      <c r="BB3" s="1158"/>
      <c r="BC3" s="1158"/>
      <c r="BD3" s="1158"/>
      <c r="BE3" s="1158"/>
      <c r="BF3" s="1158"/>
      <c r="BG3" s="1158"/>
      <c r="BH3" s="1158"/>
      <c r="BI3" s="1158"/>
      <c r="BJ3" s="1158"/>
      <c r="BK3" s="1158"/>
      <c r="BL3" s="1158"/>
      <c r="BM3" s="1158"/>
      <c r="BN3" s="1158"/>
      <c r="BO3" s="1158"/>
      <c r="BP3" s="1158"/>
      <c r="BQ3" s="1158"/>
      <c r="BR3" s="1158"/>
      <c r="BS3" s="1158"/>
      <c r="BT3" s="1158"/>
      <c r="BU3" s="1158"/>
      <c r="BV3" s="1158"/>
      <c r="BW3" s="1158"/>
    </row>
    <row r="4" spans="1:959" s="840" customFormat="1" ht="15">
      <c r="A4" s="1244" t="s">
        <v>711</v>
      </c>
      <c r="B4" s="1244"/>
      <c r="C4" s="1244"/>
      <c r="D4" s="1244"/>
      <c r="E4" s="1244"/>
      <c r="F4" s="1244"/>
      <c r="G4" s="1244"/>
      <c r="H4" s="1244"/>
      <c r="I4" s="1244"/>
      <c r="J4" s="1244"/>
      <c r="K4" s="1244"/>
      <c r="L4" s="1244"/>
      <c r="M4" s="1244"/>
      <c r="N4" s="1244"/>
      <c r="P4" s="1158"/>
      <c r="Q4" s="1158"/>
      <c r="R4" s="1158"/>
      <c r="S4" s="1158"/>
      <c r="T4" s="1158"/>
      <c r="U4" s="1158"/>
      <c r="V4" s="1158"/>
      <c r="W4" s="1158"/>
      <c r="X4" s="1158"/>
      <c r="Y4" s="1158"/>
      <c r="Z4" s="1158"/>
      <c r="AA4" s="1158"/>
      <c r="AB4" s="1158"/>
      <c r="AC4" s="1158"/>
      <c r="AD4" s="1158"/>
      <c r="AE4" s="1158"/>
      <c r="AF4" s="1158"/>
      <c r="AG4" s="1158"/>
      <c r="AH4" s="1158"/>
      <c r="AI4" s="1158"/>
      <c r="AJ4" s="1158"/>
      <c r="AK4" s="1158"/>
      <c r="AL4" s="1158"/>
      <c r="AM4" s="1158"/>
      <c r="AN4" s="1158"/>
      <c r="AO4" s="1158"/>
      <c r="AP4" s="1158"/>
      <c r="AQ4" s="1158"/>
      <c r="AR4" s="1158"/>
      <c r="AS4" s="1158"/>
      <c r="AT4" s="1158"/>
      <c r="AU4" s="1158"/>
      <c r="AV4" s="1158"/>
      <c r="AW4" s="1158"/>
      <c r="AX4" s="1158"/>
      <c r="AY4" s="1158"/>
      <c r="AZ4" s="1158"/>
      <c r="BA4" s="1158"/>
      <c r="BB4" s="1158"/>
      <c r="BC4" s="1158"/>
      <c r="BD4" s="1158"/>
      <c r="BE4" s="1158"/>
      <c r="BF4" s="1158"/>
      <c r="BG4" s="1158"/>
      <c r="BH4" s="1158"/>
      <c r="BI4" s="1158"/>
      <c r="BJ4" s="1158"/>
      <c r="BK4" s="1158"/>
      <c r="BL4" s="1158"/>
      <c r="BM4" s="1158"/>
      <c r="BN4" s="1158"/>
      <c r="BO4" s="1158"/>
      <c r="BP4" s="1158"/>
      <c r="BQ4" s="1158"/>
      <c r="BR4" s="1158"/>
      <c r="BS4" s="1158"/>
      <c r="BT4" s="1158"/>
      <c r="BU4" s="1158"/>
      <c r="BV4" s="1158"/>
      <c r="BW4" s="1158"/>
    </row>
    <row r="5" spans="1:959" s="840" customFormat="1" ht="15">
      <c r="A5" s="843"/>
      <c r="B5" s="844"/>
      <c r="C5" s="844"/>
      <c r="D5" s="844"/>
      <c r="E5" s="844"/>
      <c r="F5" s="844"/>
      <c r="G5" s="844"/>
      <c r="H5" s="844"/>
      <c r="I5" s="844"/>
      <c r="J5" s="844"/>
      <c r="K5" s="844"/>
      <c r="L5" s="844"/>
      <c r="M5" s="844"/>
      <c r="P5" s="1158"/>
      <c r="Q5" s="1158"/>
      <c r="R5" s="1158"/>
      <c r="S5" s="1158"/>
      <c r="T5" s="1158"/>
      <c r="U5" s="1158"/>
      <c r="V5" s="1158"/>
      <c r="W5" s="1158"/>
      <c r="X5" s="1158"/>
      <c r="Y5" s="1158"/>
      <c r="Z5" s="1158"/>
      <c r="AA5" s="1158"/>
      <c r="AB5" s="1158"/>
      <c r="AC5" s="1158"/>
      <c r="AD5" s="1158"/>
      <c r="AE5" s="1158"/>
      <c r="AF5" s="1158"/>
      <c r="AG5" s="1158"/>
      <c r="AH5" s="1158"/>
      <c r="AI5" s="1158"/>
      <c r="AJ5" s="1158"/>
      <c r="AK5" s="1158"/>
      <c r="AL5" s="1158"/>
      <c r="AM5" s="1158"/>
      <c r="AN5" s="1158"/>
      <c r="AO5" s="1158"/>
      <c r="AP5" s="1158"/>
      <c r="AQ5" s="1158"/>
      <c r="AR5" s="1158"/>
      <c r="AS5" s="1158"/>
      <c r="AT5" s="1158"/>
      <c r="AU5" s="1158"/>
      <c r="AV5" s="1158"/>
      <c r="AW5" s="1158"/>
      <c r="AX5" s="1158"/>
      <c r="AY5" s="1158"/>
      <c r="AZ5" s="1158"/>
      <c r="BA5" s="1158"/>
      <c r="BB5" s="1158"/>
      <c r="BC5" s="1158"/>
      <c r="BD5" s="1158"/>
      <c r="BE5" s="1158"/>
      <c r="BF5" s="1158"/>
      <c r="BG5" s="1158"/>
      <c r="BH5" s="1158"/>
      <c r="BI5" s="1158"/>
      <c r="BJ5" s="1158"/>
      <c r="BK5" s="1158"/>
      <c r="BL5" s="1158"/>
      <c r="BM5" s="1158"/>
      <c r="BN5" s="1158"/>
      <c r="BO5" s="1158"/>
      <c r="BP5" s="1158"/>
      <c r="BQ5" s="1158"/>
      <c r="BR5" s="1158"/>
      <c r="BS5" s="1158"/>
      <c r="BT5" s="1158"/>
      <c r="BU5" s="1158"/>
      <c r="BV5" s="1158"/>
      <c r="BW5" s="1158"/>
    </row>
    <row r="6" spans="1:959" s="847" customFormat="1" ht="121.5" customHeight="1">
      <c r="A6" s="845" t="s">
        <v>3</v>
      </c>
      <c r="B6" s="845" t="s">
        <v>4</v>
      </c>
      <c r="C6" s="845" t="s">
        <v>5</v>
      </c>
      <c r="D6" s="845" t="s">
        <v>6</v>
      </c>
      <c r="E6" s="845" t="s">
        <v>7</v>
      </c>
      <c r="F6" s="845" t="s">
        <v>8</v>
      </c>
      <c r="G6" s="845" t="s">
        <v>712</v>
      </c>
      <c r="H6" s="845" t="s">
        <v>713</v>
      </c>
      <c r="I6" s="846" t="s">
        <v>714</v>
      </c>
      <c r="J6" s="846" t="s">
        <v>715</v>
      </c>
      <c r="K6" s="846" t="s">
        <v>716</v>
      </c>
      <c r="L6" s="846" t="s">
        <v>717</v>
      </c>
      <c r="M6" s="845" t="s">
        <v>718</v>
      </c>
      <c r="N6" s="845" t="s">
        <v>719</v>
      </c>
      <c r="P6" s="1159"/>
      <c r="Q6" s="1159"/>
      <c r="R6" s="1159"/>
      <c r="S6" s="1159"/>
      <c r="T6" s="1159"/>
      <c r="U6" s="1159"/>
      <c r="V6" s="1159"/>
      <c r="W6" s="1159"/>
      <c r="X6" s="1159"/>
      <c r="Y6" s="1159"/>
      <c r="Z6" s="1159"/>
      <c r="AA6" s="1159"/>
      <c r="AB6" s="1159"/>
      <c r="AC6" s="1159"/>
      <c r="AD6" s="1159"/>
      <c r="AE6" s="1159"/>
      <c r="AF6" s="1159"/>
      <c r="AG6" s="1159"/>
      <c r="AH6" s="1159"/>
      <c r="AI6" s="1159"/>
      <c r="AJ6" s="1159"/>
      <c r="AK6" s="1159"/>
      <c r="AL6" s="1159"/>
      <c r="AM6" s="1159"/>
      <c r="AN6" s="1159"/>
      <c r="AO6" s="1159"/>
      <c r="AP6" s="1159"/>
      <c r="AQ6" s="1159"/>
      <c r="AR6" s="1159"/>
      <c r="AS6" s="1159"/>
      <c r="AT6" s="1159"/>
      <c r="AU6" s="1159"/>
      <c r="AV6" s="1159"/>
      <c r="AW6" s="1159"/>
      <c r="AX6" s="1159"/>
      <c r="AY6" s="1159"/>
      <c r="AZ6" s="1159"/>
      <c r="BA6" s="1159"/>
      <c r="BB6" s="1159"/>
      <c r="BC6" s="1159"/>
      <c r="BD6" s="1159"/>
      <c r="BE6" s="1159"/>
      <c r="BF6" s="1159"/>
      <c r="BG6" s="1159"/>
      <c r="BH6" s="1159"/>
      <c r="BI6" s="1159"/>
      <c r="BJ6" s="1159"/>
      <c r="BK6" s="1159"/>
      <c r="BL6" s="1159"/>
      <c r="BM6" s="1159"/>
      <c r="BN6" s="1159"/>
      <c r="BO6" s="1159"/>
      <c r="BP6" s="1159"/>
      <c r="BQ6" s="1159"/>
      <c r="BR6" s="1159"/>
      <c r="BS6" s="1159"/>
      <c r="BT6" s="1159"/>
      <c r="BU6" s="1159"/>
      <c r="BV6" s="1159"/>
      <c r="BW6" s="1159"/>
    </row>
    <row r="7" spans="1:959" s="851" customFormat="1" ht="16.5" thickBot="1">
      <c r="A7" s="848">
        <v>0</v>
      </c>
      <c r="B7" s="849">
        <v>1</v>
      </c>
      <c r="C7" s="849"/>
      <c r="D7" s="848">
        <v>2</v>
      </c>
      <c r="E7" s="848">
        <v>3</v>
      </c>
      <c r="F7" s="848">
        <v>4</v>
      </c>
      <c r="G7" s="848">
        <v>5</v>
      </c>
      <c r="H7" s="848">
        <v>6</v>
      </c>
      <c r="I7" s="850">
        <v>8</v>
      </c>
      <c r="J7" s="850">
        <v>10</v>
      </c>
      <c r="K7" s="850">
        <v>11</v>
      </c>
      <c r="L7" s="850" t="s">
        <v>720</v>
      </c>
      <c r="M7" s="848">
        <v>13</v>
      </c>
      <c r="N7" s="848">
        <v>16</v>
      </c>
      <c r="P7" s="1160"/>
      <c r="Q7" s="1160"/>
      <c r="R7" s="1160"/>
      <c r="S7" s="1160"/>
      <c r="T7" s="1160"/>
      <c r="U7" s="1160"/>
      <c r="V7" s="1160"/>
      <c r="W7" s="1160"/>
      <c r="X7" s="1160"/>
      <c r="Y7" s="1160"/>
      <c r="Z7" s="1160"/>
      <c r="AA7" s="1160"/>
      <c r="AB7" s="1160"/>
      <c r="AC7" s="1160"/>
      <c r="AD7" s="1160"/>
      <c r="AE7" s="1160"/>
      <c r="AF7" s="1160"/>
      <c r="AG7" s="1160"/>
      <c r="AH7" s="1160"/>
      <c r="AI7" s="1160"/>
      <c r="AJ7" s="1160"/>
      <c r="AK7" s="1160"/>
      <c r="AL7" s="1160"/>
      <c r="AM7" s="1160"/>
      <c r="AN7" s="1160"/>
      <c r="AO7" s="1160"/>
      <c r="AP7" s="1160"/>
      <c r="AQ7" s="1160"/>
      <c r="AR7" s="1160"/>
      <c r="AS7" s="1160"/>
      <c r="AT7" s="1160"/>
      <c r="AU7" s="1160"/>
      <c r="AV7" s="1160"/>
      <c r="AW7" s="1160"/>
      <c r="AX7" s="1160"/>
      <c r="AY7" s="1160"/>
      <c r="AZ7" s="1160"/>
      <c r="BA7" s="1160"/>
      <c r="BB7" s="1160"/>
      <c r="BC7" s="1160"/>
      <c r="BD7" s="1160"/>
      <c r="BE7" s="1160"/>
      <c r="BF7" s="1160"/>
      <c r="BG7" s="1160"/>
      <c r="BH7" s="1160"/>
      <c r="BI7" s="1160"/>
      <c r="BJ7" s="1160"/>
      <c r="BK7" s="1160"/>
      <c r="BL7" s="1160"/>
      <c r="BM7" s="1160"/>
      <c r="BN7" s="1160"/>
      <c r="BO7" s="1160"/>
      <c r="BP7" s="1160"/>
      <c r="BQ7" s="1160"/>
      <c r="BR7" s="1160"/>
      <c r="BS7" s="1160"/>
      <c r="BT7" s="1160"/>
      <c r="BU7" s="1160"/>
      <c r="BV7" s="1160"/>
      <c r="BW7" s="1160"/>
    </row>
    <row r="8" spans="1:959" s="854" customFormat="1" ht="60" customHeight="1">
      <c r="A8" s="1121">
        <v>1</v>
      </c>
      <c r="B8" s="1122" t="s">
        <v>721</v>
      </c>
      <c r="C8" s="1122" t="s">
        <v>21</v>
      </c>
      <c r="D8" s="1123" t="s">
        <v>722</v>
      </c>
      <c r="E8" s="1123" t="s">
        <v>23</v>
      </c>
      <c r="F8" s="1122">
        <v>1423</v>
      </c>
      <c r="G8" s="1124">
        <v>1</v>
      </c>
      <c r="H8" s="1125">
        <f>J8/I8</f>
        <v>0.74905019330867462</v>
      </c>
      <c r="I8" s="1126">
        <v>119498</v>
      </c>
      <c r="J8" s="1127">
        <v>89510</v>
      </c>
      <c r="K8" s="1128">
        <v>414</v>
      </c>
      <c r="L8" s="1129">
        <f t="shared" ref="L8:L39" si="0">I8-J8-K8</f>
        <v>29574</v>
      </c>
      <c r="M8" s="1130">
        <v>2024</v>
      </c>
      <c r="N8" s="1183" t="s">
        <v>723</v>
      </c>
      <c r="O8" s="852"/>
      <c r="P8" s="1161"/>
      <c r="Q8" s="1161"/>
      <c r="R8" s="1161"/>
      <c r="S8" s="1161"/>
      <c r="T8" s="1161"/>
      <c r="U8" s="1161"/>
      <c r="V8" s="1161"/>
      <c r="W8" s="1161"/>
      <c r="X8" s="1161"/>
      <c r="Y8" s="1161"/>
      <c r="Z8" s="1161"/>
      <c r="AA8" s="1161"/>
      <c r="AB8" s="1161"/>
      <c r="AC8" s="1161"/>
      <c r="AD8" s="1161"/>
      <c r="AE8" s="1161"/>
      <c r="AF8" s="1161"/>
      <c r="AG8" s="1161"/>
      <c r="AH8" s="1161"/>
      <c r="AI8" s="1161"/>
      <c r="AJ8" s="1161"/>
      <c r="AK8" s="1161"/>
      <c r="AL8" s="1161"/>
      <c r="AM8" s="1161"/>
      <c r="AN8" s="1161"/>
      <c r="AO8" s="1161"/>
      <c r="AP8" s="1161"/>
      <c r="AQ8" s="1161"/>
      <c r="AR8" s="1161"/>
      <c r="AS8" s="1161"/>
      <c r="AT8" s="1161"/>
      <c r="AU8" s="1161"/>
      <c r="AV8" s="1161"/>
      <c r="AW8" s="1161"/>
      <c r="AX8" s="1161"/>
      <c r="AY8" s="1161"/>
      <c r="AZ8" s="1161"/>
      <c r="BA8" s="1161"/>
      <c r="BB8" s="1161"/>
      <c r="BC8" s="1161"/>
      <c r="BD8" s="1161"/>
      <c r="BE8" s="1161"/>
      <c r="BF8" s="1161"/>
      <c r="BG8" s="1161"/>
      <c r="BH8" s="1161"/>
      <c r="BI8" s="1161"/>
      <c r="BJ8" s="1161"/>
      <c r="BK8" s="1161"/>
      <c r="BL8" s="1161"/>
      <c r="BM8" s="1161"/>
      <c r="BN8" s="1161"/>
      <c r="BO8" s="1161"/>
      <c r="BP8" s="1161"/>
      <c r="BQ8" s="1161"/>
      <c r="BR8" s="1161"/>
      <c r="BS8" s="1161"/>
      <c r="BT8" s="1161"/>
      <c r="BU8" s="1161"/>
      <c r="BV8" s="1161"/>
      <c r="BW8" s="1161"/>
      <c r="BX8" s="853"/>
      <c r="BY8" s="853"/>
      <c r="BZ8" s="853"/>
      <c r="CA8" s="853"/>
      <c r="CB8" s="853"/>
      <c r="CC8" s="853"/>
      <c r="CD8" s="853"/>
      <c r="CE8" s="853"/>
      <c r="CF8" s="853"/>
      <c r="CG8" s="853"/>
      <c r="CH8" s="853"/>
      <c r="CI8" s="853"/>
      <c r="CJ8" s="853"/>
      <c r="CK8" s="853"/>
      <c r="CL8" s="853"/>
      <c r="CM8" s="853"/>
      <c r="CN8" s="853"/>
      <c r="CO8" s="853"/>
      <c r="CP8" s="853"/>
      <c r="CQ8" s="853"/>
      <c r="CR8" s="853"/>
      <c r="CS8" s="853"/>
      <c r="CT8" s="853"/>
      <c r="CU8" s="853"/>
      <c r="CV8" s="853"/>
      <c r="CW8" s="853"/>
      <c r="CX8" s="853"/>
      <c r="CY8" s="853"/>
      <c r="CZ8" s="853"/>
      <c r="DA8" s="853"/>
      <c r="DB8" s="853"/>
      <c r="DC8" s="853"/>
      <c r="DD8" s="853"/>
      <c r="DE8" s="853"/>
      <c r="DF8" s="853"/>
      <c r="DG8" s="853"/>
      <c r="DH8" s="853"/>
      <c r="DI8" s="853"/>
      <c r="DJ8" s="853"/>
      <c r="DK8" s="853"/>
      <c r="DL8" s="853"/>
      <c r="DM8" s="853"/>
      <c r="DN8" s="853"/>
      <c r="DO8" s="853"/>
      <c r="DP8" s="853"/>
      <c r="DQ8" s="853"/>
      <c r="DR8" s="853"/>
      <c r="DS8" s="853"/>
      <c r="DT8" s="853"/>
      <c r="DU8" s="853"/>
      <c r="DV8" s="853"/>
      <c r="DW8" s="853"/>
      <c r="DX8" s="853"/>
      <c r="DY8" s="853"/>
      <c r="DZ8" s="853"/>
      <c r="EA8" s="853"/>
      <c r="EB8" s="853"/>
      <c r="EC8" s="853"/>
      <c r="ED8" s="853"/>
      <c r="EE8" s="853"/>
      <c r="EF8" s="853"/>
      <c r="EG8" s="853"/>
      <c r="EH8" s="853"/>
      <c r="EI8" s="853"/>
      <c r="EJ8" s="853"/>
      <c r="EK8" s="853"/>
      <c r="EL8" s="853"/>
      <c r="EM8" s="853"/>
      <c r="EN8" s="853"/>
      <c r="EO8" s="853"/>
      <c r="EP8" s="853"/>
      <c r="EQ8" s="853"/>
      <c r="ER8" s="853"/>
      <c r="ES8" s="853"/>
      <c r="ET8" s="853"/>
      <c r="EU8" s="853"/>
      <c r="EV8" s="853"/>
      <c r="EW8" s="853"/>
      <c r="EX8" s="853"/>
      <c r="EY8" s="853"/>
      <c r="EZ8" s="853"/>
      <c r="FA8" s="853"/>
      <c r="FB8" s="853"/>
      <c r="FC8" s="853"/>
      <c r="FD8" s="853"/>
      <c r="FE8" s="853"/>
      <c r="FF8" s="853"/>
      <c r="FG8" s="853"/>
      <c r="FH8" s="853"/>
      <c r="FI8" s="853"/>
      <c r="FJ8" s="853"/>
      <c r="FK8" s="853"/>
      <c r="FL8" s="853"/>
      <c r="FM8" s="853"/>
      <c r="FN8" s="853"/>
      <c r="FO8" s="853"/>
      <c r="FP8" s="853"/>
      <c r="FQ8" s="853"/>
      <c r="FR8" s="853"/>
      <c r="FS8" s="853"/>
      <c r="FT8" s="853"/>
      <c r="FU8" s="853"/>
      <c r="FV8" s="853"/>
      <c r="FW8" s="853"/>
      <c r="FX8" s="853"/>
      <c r="FY8" s="853"/>
      <c r="FZ8" s="853"/>
      <c r="GA8" s="853"/>
      <c r="GB8" s="853"/>
      <c r="GC8" s="853"/>
      <c r="GD8" s="853"/>
      <c r="GE8" s="853"/>
      <c r="GF8" s="853"/>
      <c r="GG8" s="853"/>
      <c r="GH8" s="853"/>
      <c r="AJW8" s="853"/>
    </row>
    <row r="9" spans="1:959" s="118" customFormat="1" ht="66.75" customHeight="1">
      <c r="A9" s="924">
        <v>2</v>
      </c>
      <c r="B9" s="1131" t="s">
        <v>624</v>
      </c>
      <c r="C9" s="941" t="s">
        <v>21</v>
      </c>
      <c r="D9" s="929" t="s">
        <v>22</v>
      </c>
      <c r="E9" s="923" t="s">
        <v>23</v>
      </c>
      <c r="F9" s="999">
        <v>283</v>
      </c>
      <c r="G9" s="1132">
        <v>1</v>
      </c>
      <c r="H9" s="937">
        <f>J9/I9</f>
        <v>0.56177153182779671</v>
      </c>
      <c r="I9" s="926">
        <v>233538</v>
      </c>
      <c r="J9" s="926">
        <v>131195</v>
      </c>
      <c r="K9" s="928">
        <v>380</v>
      </c>
      <c r="L9" s="994">
        <f t="shared" si="0"/>
        <v>101963</v>
      </c>
      <c r="M9" s="924">
        <v>2024</v>
      </c>
      <c r="N9" s="1064" t="s">
        <v>625</v>
      </c>
      <c r="O9" s="145"/>
      <c r="P9" s="1089"/>
      <c r="Q9" s="1089"/>
      <c r="R9" s="1089"/>
      <c r="S9" s="1089"/>
      <c r="T9" s="1089"/>
      <c r="U9" s="1089"/>
      <c r="V9" s="1089"/>
      <c r="W9" s="1089"/>
      <c r="X9" s="1089"/>
      <c r="Y9" s="1089"/>
      <c r="Z9" s="1089"/>
      <c r="AA9" s="1089"/>
      <c r="AB9" s="1089"/>
      <c r="AC9" s="1089"/>
      <c r="AD9" s="1089"/>
      <c r="AE9" s="1089"/>
      <c r="AF9" s="1089"/>
      <c r="AG9" s="1089"/>
      <c r="AH9" s="1089"/>
      <c r="AI9" s="1089"/>
      <c r="AJ9" s="1089"/>
      <c r="AK9" s="1089"/>
      <c r="AL9" s="1089"/>
      <c r="AM9" s="1089"/>
      <c r="AN9" s="1089"/>
      <c r="AO9" s="1089"/>
      <c r="AP9" s="1089"/>
      <c r="AQ9" s="1089"/>
      <c r="AR9" s="1089"/>
      <c r="AS9" s="1089"/>
      <c r="AT9" s="1089"/>
      <c r="AU9" s="1089"/>
      <c r="AV9" s="1089"/>
      <c r="AW9" s="1089"/>
      <c r="AX9" s="1089"/>
      <c r="AY9" s="1089"/>
      <c r="AZ9" s="1089"/>
      <c r="BA9" s="1089"/>
      <c r="BB9" s="1089"/>
      <c r="BC9" s="1089"/>
      <c r="BD9" s="1089"/>
      <c r="BE9" s="1089"/>
      <c r="BF9" s="1089"/>
      <c r="BG9" s="1089"/>
      <c r="BH9" s="1089"/>
      <c r="BI9" s="1089"/>
      <c r="BJ9" s="1089"/>
      <c r="BK9" s="1089"/>
      <c r="BL9" s="1089"/>
      <c r="BM9" s="1089"/>
      <c r="BN9" s="1089"/>
      <c r="BO9" s="1089"/>
      <c r="BP9" s="1089"/>
      <c r="BQ9" s="1089"/>
      <c r="BR9" s="1089"/>
      <c r="BS9" s="1089"/>
      <c r="BT9" s="1089"/>
      <c r="BU9" s="1089"/>
      <c r="BV9" s="1089"/>
      <c r="BW9" s="1089"/>
    </row>
    <row r="10" spans="1:959" s="12" customFormat="1" ht="51">
      <c r="A10" s="1008">
        <v>3</v>
      </c>
      <c r="B10" s="1133" t="s">
        <v>83</v>
      </c>
      <c r="C10" s="923" t="s">
        <v>41</v>
      </c>
      <c r="D10" s="923" t="s">
        <v>448</v>
      </c>
      <c r="E10" s="923" t="s">
        <v>23</v>
      </c>
      <c r="F10" s="996">
        <v>1429</v>
      </c>
      <c r="G10" s="1132">
        <v>1</v>
      </c>
      <c r="H10" s="939">
        <v>0</v>
      </c>
      <c r="I10" s="996">
        <v>220454</v>
      </c>
      <c r="J10" s="926">
        <v>127758</v>
      </c>
      <c r="K10" s="926">
        <v>2286</v>
      </c>
      <c r="L10" s="994">
        <f t="shared" si="0"/>
        <v>90410</v>
      </c>
      <c r="M10" s="996">
        <v>2024</v>
      </c>
      <c r="N10" s="1184" t="s">
        <v>724</v>
      </c>
      <c r="P10" s="1074"/>
      <c r="Q10" s="1074"/>
      <c r="R10" s="1074"/>
      <c r="S10" s="1074"/>
      <c r="T10" s="1074"/>
      <c r="U10" s="1074"/>
      <c r="V10" s="1074"/>
      <c r="W10" s="1074"/>
      <c r="X10" s="1074"/>
      <c r="Y10" s="1074"/>
      <c r="Z10" s="1074"/>
      <c r="AA10" s="1074"/>
      <c r="AB10" s="1074"/>
      <c r="AC10" s="1074"/>
      <c r="AD10" s="1074"/>
      <c r="AE10" s="1074"/>
      <c r="AF10" s="1074"/>
      <c r="AG10" s="1074"/>
      <c r="AH10" s="1074"/>
      <c r="AI10" s="1074"/>
      <c r="AJ10" s="1074"/>
      <c r="AK10" s="1074"/>
      <c r="AL10" s="1074"/>
      <c r="AM10" s="1074"/>
      <c r="AN10" s="1074"/>
      <c r="AO10" s="1074"/>
      <c r="AP10" s="1074"/>
      <c r="AQ10" s="1074"/>
      <c r="AR10" s="1074"/>
      <c r="AS10" s="1074"/>
      <c r="AT10" s="1074"/>
      <c r="AU10" s="1074"/>
      <c r="AV10" s="1074"/>
      <c r="AW10" s="1074"/>
      <c r="AX10" s="1074"/>
      <c r="AY10" s="1074"/>
      <c r="AZ10" s="1074"/>
      <c r="BA10" s="1074"/>
      <c r="BB10" s="1074"/>
      <c r="BC10" s="1074"/>
      <c r="BD10" s="1074"/>
      <c r="BE10" s="1074"/>
      <c r="BF10" s="1074"/>
      <c r="BG10" s="1074"/>
      <c r="BH10" s="1074"/>
      <c r="BI10" s="1074"/>
      <c r="BJ10" s="1074"/>
      <c r="BK10" s="1074"/>
      <c r="BL10" s="1074"/>
      <c r="BM10" s="1074"/>
      <c r="BN10" s="1074"/>
      <c r="BO10" s="1074"/>
      <c r="BP10" s="1074"/>
      <c r="BQ10" s="1074"/>
      <c r="BR10" s="1074"/>
      <c r="BS10" s="1074"/>
      <c r="BT10" s="1074"/>
      <c r="BU10" s="1074"/>
      <c r="BV10" s="1074"/>
      <c r="BW10" s="1074"/>
    </row>
    <row r="11" spans="1:959" s="12" customFormat="1" ht="68.25" customHeight="1">
      <c r="A11" s="924">
        <v>4</v>
      </c>
      <c r="B11" s="1134" t="s">
        <v>259</v>
      </c>
      <c r="C11" s="924" t="s">
        <v>41</v>
      </c>
      <c r="D11" s="929" t="s">
        <v>448</v>
      </c>
      <c r="E11" s="932" t="s">
        <v>23</v>
      </c>
      <c r="F11" s="1135">
        <v>1163</v>
      </c>
      <c r="G11" s="927">
        <v>0.99509999999999998</v>
      </c>
      <c r="H11" s="937">
        <f>J11/I11</f>
        <v>0.65219621926674298</v>
      </c>
      <c r="I11" s="926">
        <v>202712</v>
      </c>
      <c r="J11" s="943">
        <v>132208</v>
      </c>
      <c r="K11" s="943">
        <v>40337</v>
      </c>
      <c r="L11" s="994">
        <f t="shared" si="0"/>
        <v>30167</v>
      </c>
      <c r="M11" s="928" t="s">
        <v>725</v>
      </c>
      <c r="N11" s="1184" t="s">
        <v>726</v>
      </c>
      <c r="P11" s="1074"/>
      <c r="Q11" s="1074"/>
      <c r="R11" s="1074"/>
      <c r="S11" s="1074"/>
      <c r="T11" s="1074"/>
      <c r="U11" s="1074"/>
      <c r="V11" s="1074"/>
      <c r="W11" s="1074"/>
      <c r="X11" s="1074"/>
      <c r="Y11" s="1074"/>
      <c r="Z11" s="1074"/>
      <c r="AA11" s="1074"/>
      <c r="AB11" s="1074"/>
      <c r="AC11" s="1074"/>
      <c r="AD11" s="1074"/>
      <c r="AE11" s="1074"/>
      <c r="AF11" s="1074"/>
      <c r="AG11" s="1074"/>
      <c r="AH11" s="1074"/>
      <c r="AI11" s="1074"/>
      <c r="AJ11" s="1074"/>
      <c r="AK11" s="1074"/>
      <c r="AL11" s="1074"/>
      <c r="AM11" s="1074"/>
      <c r="AN11" s="1074"/>
      <c r="AO11" s="1074"/>
      <c r="AP11" s="1074"/>
      <c r="AQ11" s="1074"/>
      <c r="AR11" s="1074"/>
      <c r="AS11" s="1074"/>
      <c r="AT11" s="1074"/>
      <c r="AU11" s="1074"/>
      <c r="AV11" s="1074"/>
      <c r="AW11" s="1074"/>
      <c r="AX11" s="1074"/>
      <c r="AY11" s="1074"/>
      <c r="AZ11" s="1074"/>
      <c r="BA11" s="1074"/>
      <c r="BB11" s="1074"/>
      <c r="BC11" s="1074"/>
      <c r="BD11" s="1074"/>
      <c r="BE11" s="1074"/>
      <c r="BF11" s="1074"/>
      <c r="BG11" s="1074"/>
      <c r="BH11" s="1074"/>
      <c r="BI11" s="1074"/>
      <c r="BJ11" s="1074"/>
      <c r="BK11" s="1074"/>
      <c r="BL11" s="1074"/>
      <c r="BM11" s="1074"/>
      <c r="BN11" s="1074"/>
      <c r="BO11" s="1074"/>
      <c r="BP11" s="1074"/>
      <c r="BQ11" s="1074"/>
      <c r="BR11" s="1074"/>
      <c r="BS11" s="1074"/>
      <c r="BT11" s="1074"/>
      <c r="BU11" s="1074"/>
      <c r="BV11" s="1074"/>
      <c r="BW11" s="1074"/>
    </row>
    <row r="12" spans="1:959" s="12" customFormat="1" ht="38.25">
      <c r="A12" s="1008">
        <v>5</v>
      </c>
      <c r="B12" s="1136" t="s">
        <v>249</v>
      </c>
      <c r="C12" s="924" t="s">
        <v>41</v>
      </c>
      <c r="D12" s="929" t="s">
        <v>448</v>
      </c>
      <c r="E12" s="932" t="s">
        <v>23</v>
      </c>
      <c r="F12" s="1135">
        <v>1225</v>
      </c>
      <c r="G12" s="927">
        <v>0.97</v>
      </c>
      <c r="H12" s="927">
        <v>0.97</v>
      </c>
      <c r="I12" s="926">
        <v>448521</v>
      </c>
      <c r="J12" s="943">
        <v>323124</v>
      </c>
      <c r="K12" s="943">
        <v>81691</v>
      </c>
      <c r="L12" s="994">
        <f t="shared" si="0"/>
        <v>43706</v>
      </c>
      <c r="M12" s="926" t="s">
        <v>727</v>
      </c>
      <c r="N12" s="1184"/>
      <c r="P12" s="1074"/>
      <c r="Q12" s="1074"/>
      <c r="R12" s="1074"/>
      <c r="S12" s="1074"/>
      <c r="T12" s="1074"/>
      <c r="U12" s="1074"/>
      <c r="V12" s="1074"/>
      <c r="W12" s="1074"/>
      <c r="X12" s="1074"/>
      <c r="Y12" s="1074"/>
      <c r="Z12" s="1074"/>
      <c r="AA12" s="1074"/>
      <c r="AB12" s="1074"/>
      <c r="AC12" s="1074"/>
      <c r="AD12" s="1074"/>
      <c r="AE12" s="1074"/>
      <c r="AF12" s="1074"/>
      <c r="AG12" s="1074"/>
      <c r="AH12" s="1074"/>
      <c r="AI12" s="1074"/>
      <c r="AJ12" s="1074"/>
      <c r="AK12" s="1074"/>
      <c r="AL12" s="1074"/>
      <c r="AM12" s="1074"/>
      <c r="AN12" s="1074"/>
      <c r="AO12" s="1074"/>
      <c r="AP12" s="1074"/>
      <c r="AQ12" s="1074"/>
      <c r="AR12" s="1074"/>
      <c r="AS12" s="1074"/>
      <c r="AT12" s="1074"/>
      <c r="AU12" s="1074"/>
      <c r="AV12" s="1074"/>
      <c r="AW12" s="1074"/>
      <c r="AX12" s="1074"/>
      <c r="AY12" s="1074"/>
      <c r="AZ12" s="1074"/>
      <c r="BA12" s="1074"/>
      <c r="BB12" s="1074"/>
      <c r="BC12" s="1074"/>
      <c r="BD12" s="1074"/>
      <c r="BE12" s="1074"/>
      <c r="BF12" s="1074"/>
      <c r="BG12" s="1074"/>
      <c r="BH12" s="1074"/>
      <c r="BI12" s="1074"/>
      <c r="BJ12" s="1074"/>
      <c r="BK12" s="1074"/>
      <c r="BL12" s="1074"/>
      <c r="BM12" s="1074"/>
      <c r="BN12" s="1074"/>
      <c r="BO12" s="1074"/>
      <c r="BP12" s="1074"/>
      <c r="BQ12" s="1074"/>
      <c r="BR12" s="1074"/>
      <c r="BS12" s="1074"/>
      <c r="BT12" s="1074"/>
      <c r="BU12" s="1074"/>
      <c r="BV12" s="1074"/>
      <c r="BW12" s="1074"/>
    </row>
    <row r="13" spans="1:959" s="12" customFormat="1" ht="161.25" customHeight="1">
      <c r="A13" s="924">
        <v>6</v>
      </c>
      <c r="B13" s="1136" t="s">
        <v>208</v>
      </c>
      <c r="C13" s="924" t="s">
        <v>41</v>
      </c>
      <c r="D13" s="929" t="s">
        <v>367</v>
      </c>
      <c r="E13" s="932" t="s">
        <v>23</v>
      </c>
      <c r="F13" s="1135">
        <v>370</v>
      </c>
      <c r="G13" s="927">
        <v>1</v>
      </c>
      <c r="H13" s="927">
        <f t="shared" ref="H13:H43" si="1">J13/I13</f>
        <v>0.97304791733906715</v>
      </c>
      <c r="I13" s="926">
        <v>219983</v>
      </c>
      <c r="J13" s="943">
        <v>214054</v>
      </c>
      <c r="K13" s="943">
        <v>213</v>
      </c>
      <c r="L13" s="994">
        <f t="shared" si="0"/>
        <v>5716</v>
      </c>
      <c r="M13" s="926">
        <v>2024</v>
      </c>
      <c r="N13" s="1184"/>
      <c r="O13" s="855"/>
      <c r="P13" s="1162"/>
      <c r="Q13" s="1074"/>
      <c r="R13" s="1074"/>
      <c r="S13" s="1074"/>
      <c r="T13" s="1074"/>
      <c r="U13" s="1074"/>
      <c r="V13" s="1074"/>
      <c r="W13" s="1074"/>
      <c r="X13" s="1074"/>
      <c r="Y13" s="1074"/>
      <c r="Z13" s="1074"/>
      <c r="AA13" s="1074"/>
      <c r="AB13" s="1074"/>
      <c r="AC13" s="1074"/>
      <c r="AD13" s="1074"/>
      <c r="AE13" s="1074"/>
      <c r="AF13" s="1074"/>
      <c r="AG13" s="1074"/>
      <c r="AH13" s="1074"/>
      <c r="AI13" s="1074"/>
      <c r="AJ13" s="1074"/>
      <c r="AK13" s="1074"/>
      <c r="AL13" s="1074"/>
      <c r="AM13" s="1074"/>
      <c r="AN13" s="1074"/>
      <c r="AO13" s="1074"/>
      <c r="AP13" s="1074"/>
      <c r="AQ13" s="1074"/>
      <c r="AR13" s="1074"/>
      <c r="AS13" s="1074"/>
      <c r="AT13" s="1074"/>
      <c r="AU13" s="1074"/>
      <c r="AV13" s="1074"/>
      <c r="AW13" s="1074"/>
      <c r="AX13" s="1074"/>
      <c r="AY13" s="1074"/>
      <c r="AZ13" s="1074"/>
      <c r="BA13" s="1074"/>
      <c r="BB13" s="1074"/>
      <c r="BC13" s="1074"/>
      <c r="BD13" s="1074"/>
      <c r="BE13" s="1074"/>
      <c r="BF13" s="1074"/>
      <c r="BG13" s="1074"/>
      <c r="BH13" s="1074"/>
      <c r="BI13" s="1074"/>
      <c r="BJ13" s="1074"/>
      <c r="BK13" s="1074"/>
      <c r="BL13" s="1074"/>
      <c r="BM13" s="1074"/>
      <c r="BN13" s="1074"/>
      <c r="BO13" s="1074"/>
      <c r="BP13" s="1074"/>
      <c r="BQ13" s="1074"/>
      <c r="BR13" s="1074"/>
      <c r="BS13" s="1074"/>
      <c r="BT13" s="1074"/>
      <c r="BU13" s="1074"/>
      <c r="BV13" s="1074"/>
      <c r="BW13" s="1074"/>
    </row>
    <row r="14" spans="1:959" s="12" customFormat="1" ht="204">
      <c r="A14" s="1008">
        <v>7</v>
      </c>
      <c r="B14" s="944" t="s">
        <v>728</v>
      </c>
      <c r="C14" s="924" t="s">
        <v>41</v>
      </c>
      <c r="D14" s="929" t="s">
        <v>729</v>
      </c>
      <c r="E14" s="932" t="s">
        <v>23</v>
      </c>
      <c r="F14" s="1135">
        <v>1368</v>
      </c>
      <c r="G14" s="927">
        <v>1</v>
      </c>
      <c r="H14" s="927">
        <f t="shared" si="1"/>
        <v>0.70983239641890483</v>
      </c>
      <c r="I14" s="926">
        <v>192120</v>
      </c>
      <c r="J14" s="943">
        <v>136373</v>
      </c>
      <c r="K14" s="943">
        <v>0</v>
      </c>
      <c r="L14" s="994">
        <f t="shared" si="0"/>
        <v>55747</v>
      </c>
      <c r="M14" s="926">
        <v>2024</v>
      </c>
      <c r="N14" s="1184" t="s">
        <v>730</v>
      </c>
      <c r="O14" s="855"/>
      <c r="P14" s="1162"/>
      <c r="Q14" s="1074"/>
      <c r="R14" s="1074"/>
      <c r="S14" s="1074"/>
      <c r="T14" s="1074"/>
      <c r="U14" s="1074"/>
      <c r="V14" s="1074"/>
      <c r="W14" s="1074"/>
      <c r="X14" s="1074"/>
      <c r="Y14" s="1074"/>
      <c r="Z14" s="1074"/>
      <c r="AA14" s="1074"/>
      <c r="AB14" s="1074"/>
      <c r="AC14" s="1074"/>
      <c r="AD14" s="1074"/>
      <c r="AE14" s="1074"/>
      <c r="AF14" s="1074"/>
      <c r="AG14" s="1074"/>
      <c r="AH14" s="1074"/>
      <c r="AI14" s="1074"/>
      <c r="AJ14" s="1074"/>
      <c r="AK14" s="1074"/>
      <c r="AL14" s="1074"/>
      <c r="AM14" s="1074"/>
      <c r="AN14" s="1074"/>
      <c r="AO14" s="1074"/>
      <c r="AP14" s="1074"/>
      <c r="AQ14" s="1074"/>
      <c r="AR14" s="1074"/>
      <c r="AS14" s="1074"/>
      <c r="AT14" s="1074"/>
      <c r="AU14" s="1074"/>
      <c r="AV14" s="1074"/>
      <c r="AW14" s="1074"/>
      <c r="AX14" s="1074"/>
      <c r="AY14" s="1074"/>
      <c r="AZ14" s="1074"/>
      <c r="BA14" s="1074"/>
      <c r="BB14" s="1074"/>
      <c r="BC14" s="1074"/>
      <c r="BD14" s="1074"/>
      <c r="BE14" s="1074"/>
      <c r="BF14" s="1074"/>
      <c r="BG14" s="1074"/>
      <c r="BH14" s="1074"/>
      <c r="BI14" s="1074"/>
      <c r="BJ14" s="1074"/>
      <c r="BK14" s="1074"/>
      <c r="BL14" s="1074"/>
      <c r="BM14" s="1074"/>
      <c r="BN14" s="1074"/>
      <c r="BO14" s="1074"/>
      <c r="BP14" s="1074"/>
      <c r="BQ14" s="1074"/>
      <c r="BR14" s="1074"/>
      <c r="BS14" s="1074"/>
      <c r="BT14" s="1074"/>
      <c r="BU14" s="1074"/>
      <c r="BV14" s="1074"/>
      <c r="BW14" s="1074"/>
    </row>
    <row r="15" spans="1:959" s="12" customFormat="1" ht="64.5" customHeight="1">
      <c r="A15" s="924">
        <v>8</v>
      </c>
      <c r="B15" s="944" t="s">
        <v>194</v>
      </c>
      <c r="C15" s="924" t="s">
        <v>41</v>
      </c>
      <c r="D15" s="929" t="s">
        <v>448</v>
      </c>
      <c r="E15" s="932" t="s">
        <v>23</v>
      </c>
      <c r="F15" s="1135">
        <v>1286</v>
      </c>
      <c r="G15" s="927">
        <v>1</v>
      </c>
      <c r="H15" s="927">
        <f t="shared" si="1"/>
        <v>0.66433941060303536</v>
      </c>
      <c r="I15" s="926">
        <v>916530</v>
      </c>
      <c r="J15" s="943">
        <v>608887</v>
      </c>
      <c r="K15" s="943">
        <v>177000</v>
      </c>
      <c r="L15" s="994">
        <f t="shared" si="0"/>
        <v>130643</v>
      </c>
      <c r="M15" s="926" t="s">
        <v>731</v>
      </c>
      <c r="N15" s="1184"/>
      <c r="O15" s="855"/>
      <c r="P15" s="1162"/>
      <c r="Q15" s="1074"/>
      <c r="R15" s="1074"/>
      <c r="S15" s="1074"/>
      <c r="T15" s="1074"/>
      <c r="U15" s="1074"/>
      <c r="V15" s="1074"/>
      <c r="W15" s="1074"/>
      <c r="X15" s="1074"/>
      <c r="Y15" s="1074"/>
      <c r="Z15" s="1074"/>
      <c r="AA15" s="1074"/>
      <c r="AB15" s="1074"/>
      <c r="AC15" s="1074"/>
      <c r="AD15" s="1074"/>
      <c r="AE15" s="1074"/>
      <c r="AF15" s="1074"/>
      <c r="AG15" s="1074"/>
      <c r="AH15" s="1074"/>
      <c r="AI15" s="1074"/>
      <c r="AJ15" s="1074"/>
      <c r="AK15" s="1074"/>
      <c r="AL15" s="1074"/>
      <c r="AM15" s="1074"/>
      <c r="AN15" s="1074"/>
      <c r="AO15" s="1074"/>
      <c r="AP15" s="1074"/>
      <c r="AQ15" s="1074"/>
      <c r="AR15" s="1074"/>
      <c r="AS15" s="1074"/>
      <c r="AT15" s="1074"/>
      <c r="AU15" s="1074"/>
      <c r="AV15" s="1074"/>
      <c r="AW15" s="1074"/>
      <c r="AX15" s="1074"/>
      <c r="AY15" s="1074"/>
      <c r="AZ15" s="1074"/>
      <c r="BA15" s="1074"/>
      <c r="BB15" s="1074"/>
      <c r="BC15" s="1074"/>
      <c r="BD15" s="1074"/>
      <c r="BE15" s="1074"/>
      <c r="BF15" s="1074"/>
      <c r="BG15" s="1074"/>
      <c r="BH15" s="1074"/>
      <c r="BI15" s="1074"/>
      <c r="BJ15" s="1074"/>
      <c r="BK15" s="1074"/>
      <c r="BL15" s="1074"/>
      <c r="BM15" s="1074"/>
      <c r="BN15" s="1074"/>
      <c r="BO15" s="1074"/>
      <c r="BP15" s="1074"/>
      <c r="BQ15" s="1074"/>
      <c r="BR15" s="1074"/>
      <c r="BS15" s="1074"/>
      <c r="BT15" s="1074"/>
      <c r="BU15" s="1074"/>
      <c r="BV15" s="1074"/>
      <c r="BW15" s="1074"/>
    </row>
    <row r="16" spans="1:959" s="12" customFormat="1" ht="64.5" customHeight="1">
      <c r="A16" s="1008">
        <v>9</v>
      </c>
      <c r="B16" s="944" t="s">
        <v>247</v>
      </c>
      <c r="C16" s="924" t="s">
        <v>41</v>
      </c>
      <c r="D16" s="929" t="s">
        <v>448</v>
      </c>
      <c r="E16" s="932" t="s">
        <v>23</v>
      </c>
      <c r="F16" s="1135">
        <v>1297</v>
      </c>
      <c r="G16" s="927">
        <v>1</v>
      </c>
      <c r="H16" s="927">
        <f t="shared" si="1"/>
        <v>0.87193477778130257</v>
      </c>
      <c r="I16" s="926">
        <v>378276</v>
      </c>
      <c r="J16" s="943">
        <v>329832</v>
      </c>
      <c r="K16" s="943">
        <v>20972</v>
      </c>
      <c r="L16" s="994">
        <f t="shared" si="0"/>
        <v>27472</v>
      </c>
      <c r="M16" s="926" t="s">
        <v>732</v>
      </c>
      <c r="N16" s="1184" t="s">
        <v>733</v>
      </c>
      <c r="O16" s="855"/>
      <c r="P16" s="1162"/>
      <c r="Q16" s="1074"/>
      <c r="R16" s="1074"/>
      <c r="S16" s="1074"/>
      <c r="T16" s="1074"/>
      <c r="U16" s="1074"/>
      <c r="V16" s="1074"/>
      <c r="W16" s="1074"/>
      <c r="X16" s="1074"/>
      <c r="Y16" s="1074"/>
      <c r="Z16" s="1074"/>
      <c r="AA16" s="1074"/>
      <c r="AB16" s="1074"/>
      <c r="AC16" s="1074"/>
      <c r="AD16" s="1074"/>
      <c r="AE16" s="1074"/>
      <c r="AF16" s="1074"/>
      <c r="AG16" s="1074"/>
      <c r="AH16" s="1074"/>
      <c r="AI16" s="1074"/>
      <c r="AJ16" s="1074"/>
      <c r="AK16" s="1074"/>
      <c r="AL16" s="1074"/>
      <c r="AM16" s="1074"/>
      <c r="AN16" s="1074"/>
      <c r="AO16" s="1074"/>
      <c r="AP16" s="1074"/>
      <c r="AQ16" s="1074"/>
      <c r="AR16" s="1074"/>
      <c r="AS16" s="1074"/>
      <c r="AT16" s="1074"/>
      <c r="AU16" s="1074"/>
      <c r="AV16" s="1074"/>
      <c r="AW16" s="1074"/>
      <c r="AX16" s="1074"/>
      <c r="AY16" s="1074"/>
      <c r="AZ16" s="1074"/>
      <c r="BA16" s="1074"/>
      <c r="BB16" s="1074"/>
      <c r="BC16" s="1074"/>
      <c r="BD16" s="1074"/>
      <c r="BE16" s="1074"/>
      <c r="BF16" s="1074"/>
      <c r="BG16" s="1074"/>
      <c r="BH16" s="1074"/>
      <c r="BI16" s="1074"/>
      <c r="BJ16" s="1074"/>
      <c r="BK16" s="1074"/>
      <c r="BL16" s="1074"/>
      <c r="BM16" s="1074"/>
      <c r="BN16" s="1074"/>
      <c r="BO16" s="1074"/>
      <c r="BP16" s="1074"/>
      <c r="BQ16" s="1074"/>
      <c r="BR16" s="1074"/>
      <c r="BS16" s="1074"/>
      <c r="BT16" s="1074"/>
      <c r="BU16" s="1074"/>
      <c r="BV16" s="1074"/>
      <c r="BW16" s="1074"/>
    </row>
    <row r="17" spans="1:75" s="12" customFormat="1" ht="90" customHeight="1">
      <c r="A17" s="924">
        <v>10</v>
      </c>
      <c r="B17" s="944" t="s">
        <v>103</v>
      </c>
      <c r="C17" s="924" t="s">
        <v>41</v>
      </c>
      <c r="D17" s="929" t="s">
        <v>468</v>
      </c>
      <c r="E17" s="932" t="s">
        <v>23</v>
      </c>
      <c r="F17" s="1135">
        <v>1329</v>
      </c>
      <c r="G17" s="927">
        <v>1</v>
      </c>
      <c r="H17" s="927">
        <f t="shared" si="1"/>
        <v>0.41191735857142414</v>
      </c>
      <c r="I17" s="926">
        <v>966053</v>
      </c>
      <c r="J17" s="943">
        <v>397934</v>
      </c>
      <c r="K17" s="943">
        <v>307800</v>
      </c>
      <c r="L17" s="994">
        <f t="shared" si="0"/>
        <v>260319</v>
      </c>
      <c r="M17" s="996">
        <v>2024</v>
      </c>
      <c r="N17" s="1184" t="s">
        <v>734</v>
      </c>
      <c r="O17" s="855"/>
      <c r="P17" s="1162"/>
      <c r="Q17" s="1074"/>
      <c r="R17" s="1074"/>
      <c r="S17" s="1074"/>
      <c r="T17" s="1074"/>
      <c r="U17" s="1074"/>
      <c r="V17" s="1074"/>
      <c r="W17" s="1074"/>
      <c r="X17" s="1074"/>
      <c r="Y17" s="1074"/>
      <c r="Z17" s="1074"/>
      <c r="AA17" s="1074"/>
      <c r="AB17" s="1074"/>
      <c r="AC17" s="1074"/>
      <c r="AD17" s="1074"/>
      <c r="AE17" s="1074"/>
      <c r="AF17" s="1074"/>
      <c r="AG17" s="1074"/>
      <c r="AH17" s="1074"/>
      <c r="AI17" s="1074"/>
      <c r="AJ17" s="1074"/>
      <c r="AK17" s="1074"/>
      <c r="AL17" s="1074"/>
      <c r="AM17" s="1074"/>
      <c r="AN17" s="1074"/>
      <c r="AO17" s="1074"/>
      <c r="AP17" s="1074"/>
      <c r="AQ17" s="1074"/>
      <c r="AR17" s="1074"/>
      <c r="AS17" s="1074"/>
      <c r="AT17" s="1074"/>
      <c r="AU17" s="1074"/>
      <c r="AV17" s="1074"/>
      <c r="AW17" s="1074"/>
      <c r="AX17" s="1074"/>
      <c r="AY17" s="1074"/>
      <c r="AZ17" s="1074"/>
      <c r="BA17" s="1074"/>
      <c r="BB17" s="1074"/>
      <c r="BC17" s="1074"/>
      <c r="BD17" s="1074"/>
      <c r="BE17" s="1074"/>
      <c r="BF17" s="1074"/>
      <c r="BG17" s="1074"/>
      <c r="BH17" s="1074"/>
      <c r="BI17" s="1074"/>
      <c r="BJ17" s="1074"/>
      <c r="BK17" s="1074"/>
      <c r="BL17" s="1074"/>
      <c r="BM17" s="1074"/>
      <c r="BN17" s="1074"/>
      <c r="BO17" s="1074"/>
      <c r="BP17" s="1074"/>
      <c r="BQ17" s="1074"/>
      <c r="BR17" s="1074"/>
      <c r="BS17" s="1074"/>
      <c r="BT17" s="1074"/>
      <c r="BU17" s="1074"/>
      <c r="BV17" s="1074"/>
      <c r="BW17" s="1074"/>
    </row>
    <row r="18" spans="1:75" s="12" customFormat="1" ht="129" customHeight="1">
      <c r="A18" s="1008">
        <v>11</v>
      </c>
      <c r="B18" s="944" t="s">
        <v>218</v>
      </c>
      <c r="C18" s="924" t="s">
        <v>41</v>
      </c>
      <c r="D18" s="929" t="s">
        <v>468</v>
      </c>
      <c r="E18" s="932" t="s">
        <v>23</v>
      </c>
      <c r="F18" s="1135">
        <v>1002</v>
      </c>
      <c r="G18" s="927">
        <v>1</v>
      </c>
      <c r="H18" s="927">
        <f t="shared" si="1"/>
        <v>0.80059391268416791</v>
      </c>
      <c r="I18" s="926">
        <v>1556121</v>
      </c>
      <c r="J18" s="943">
        <v>1245821</v>
      </c>
      <c r="K18" s="943">
        <v>19300</v>
      </c>
      <c r="L18" s="994">
        <f t="shared" si="0"/>
        <v>291000</v>
      </c>
      <c r="M18" s="996">
        <v>2024</v>
      </c>
      <c r="N18" s="1184" t="s">
        <v>735</v>
      </c>
      <c r="O18" s="855"/>
      <c r="P18" s="1162"/>
      <c r="Q18" s="1074"/>
      <c r="R18" s="1074"/>
      <c r="S18" s="1074"/>
      <c r="T18" s="1074"/>
      <c r="U18" s="1074"/>
      <c r="V18" s="1074"/>
      <c r="W18" s="1074"/>
      <c r="X18" s="1074"/>
      <c r="Y18" s="1074"/>
      <c r="Z18" s="1074"/>
      <c r="AA18" s="1074"/>
      <c r="AB18" s="1074"/>
      <c r="AC18" s="1074"/>
      <c r="AD18" s="1074"/>
      <c r="AE18" s="1074"/>
      <c r="AF18" s="1074"/>
      <c r="AG18" s="1074"/>
      <c r="AH18" s="1074"/>
      <c r="AI18" s="1074"/>
      <c r="AJ18" s="1074"/>
      <c r="AK18" s="1074"/>
      <c r="AL18" s="1074"/>
      <c r="AM18" s="1074"/>
      <c r="AN18" s="1074"/>
      <c r="AO18" s="1074"/>
      <c r="AP18" s="1074"/>
      <c r="AQ18" s="1074"/>
      <c r="AR18" s="1074"/>
      <c r="AS18" s="1074"/>
      <c r="AT18" s="1074"/>
      <c r="AU18" s="1074"/>
      <c r="AV18" s="1074"/>
      <c r="AW18" s="1074"/>
      <c r="AX18" s="1074"/>
      <c r="AY18" s="1074"/>
      <c r="AZ18" s="1074"/>
      <c r="BA18" s="1074"/>
      <c r="BB18" s="1074"/>
      <c r="BC18" s="1074"/>
      <c r="BD18" s="1074"/>
      <c r="BE18" s="1074"/>
      <c r="BF18" s="1074"/>
      <c r="BG18" s="1074"/>
      <c r="BH18" s="1074"/>
      <c r="BI18" s="1074"/>
      <c r="BJ18" s="1074"/>
      <c r="BK18" s="1074"/>
      <c r="BL18" s="1074"/>
      <c r="BM18" s="1074"/>
      <c r="BN18" s="1074"/>
      <c r="BO18" s="1074"/>
      <c r="BP18" s="1074"/>
      <c r="BQ18" s="1074"/>
      <c r="BR18" s="1074"/>
      <c r="BS18" s="1074"/>
      <c r="BT18" s="1074"/>
      <c r="BU18" s="1074"/>
      <c r="BV18" s="1074"/>
      <c r="BW18" s="1074"/>
    </row>
    <row r="19" spans="1:75" s="12" customFormat="1" ht="90" customHeight="1">
      <c r="A19" s="924">
        <v>12</v>
      </c>
      <c r="B19" s="944" t="s">
        <v>47</v>
      </c>
      <c r="C19" s="924" t="s">
        <v>41</v>
      </c>
      <c r="D19" s="929" t="s">
        <v>42</v>
      </c>
      <c r="E19" s="932" t="s">
        <v>23</v>
      </c>
      <c r="F19" s="1135">
        <v>1557</v>
      </c>
      <c r="G19" s="927">
        <v>1</v>
      </c>
      <c r="H19" s="927">
        <f t="shared" si="1"/>
        <v>0.98621441550575406</v>
      </c>
      <c r="I19" s="926">
        <v>123825</v>
      </c>
      <c r="J19" s="943">
        <v>122118</v>
      </c>
      <c r="K19" s="943">
        <v>0</v>
      </c>
      <c r="L19" s="994">
        <f t="shared" si="0"/>
        <v>1707</v>
      </c>
      <c r="M19" s="996">
        <v>2023</v>
      </c>
      <c r="N19" s="1184" t="s">
        <v>736</v>
      </c>
      <c r="O19" s="855"/>
      <c r="P19" s="1162"/>
      <c r="Q19" s="1074"/>
      <c r="R19" s="1074"/>
      <c r="S19" s="1074"/>
      <c r="T19" s="1074"/>
      <c r="U19" s="1074"/>
      <c r="V19" s="1074"/>
      <c r="W19" s="1074"/>
      <c r="X19" s="1074"/>
      <c r="Y19" s="1074"/>
      <c r="Z19" s="1074"/>
      <c r="AA19" s="1074"/>
      <c r="AB19" s="1074"/>
      <c r="AC19" s="1074"/>
      <c r="AD19" s="1074"/>
      <c r="AE19" s="1074"/>
      <c r="AF19" s="1074"/>
      <c r="AG19" s="1074"/>
      <c r="AH19" s="1074"/>
      <c r="AI19" s="1074"/>
      <c r="AJ19" s="1074"/>
      <c r="AK19" s="1074"/>
      <c r="AL19" s="1074"/>
      <c r="AM19" s="1074"/>
      <c r="AN19" s="1074"/>
      <c r="AO19" s="1074"/>
      <c r="AP19" s="1074"/>
      <c r="AQ19" s="1074"/>
      <c r="AR19" s="1074"/>
      <c r="AS19" s="1074"/>
      <c r="AT19" s="1074"/>
      <c r="AU19" s="1074"/>
      <c r="AV19" s="1074"/>
      <c r="AW19" s="1074"/>
      <c r="AX19" s="1074"/>
      <c r="AY19" s="1074"/>
      <c r="AZ19" s="1074"/>
      <c r="BA19" s="1074"/>
      <c r="BB19" s="1074"/>
      <c r="BC19" s="1074"/>
      <c r="BD19" s="1074"/>
      <c r="BE19" s="1074"/>
      <c r="BF19" s="1074"/>
      <c r="BG19" s="1074"/>
      <c r="BH19" s="1074"/>
      <c r="BI19" s="1074"/>
      <c r="BJ19" s="1074"/>
      <c r="BK19" s="1074"/>
      <c r="BL19" s="1074"/>
      <c r="BM19" s="1074"/>
      <c r="BN19" s="1074"/>
      <c r="BO19" s="1074"/>
      <c r="BP19" s="1074"/>
      <c r="BQ19" s="1074"/>
      <c r="BR19" s="1074"/>
      <c r="BS19" s="1074"/>
      <c r="BT19" s="1074"/>
      <c r="BU19" s="1074"/>
      <c r="BV19" s="1074"/>
      <c r="BW19" s="1074"/>
    </row>
    <row r="20" spans="1:75" s="12" customFormat="1" ht="324.75" customHeight="1">
      <c r="A20" s="1008">
        <v>13</v>
      </c>
      <c r="B20" s="944" t="s">
        <v>300</v>
      </c>
      <c r="C20" s="924" t="s">
        <v>41</v>
      </c>
      <c r="D20" s="929" t="s">
        <v>448</v>
      </c>
      <c r="E20" s="932" t="s">
        <v>23</v>
      </c>
      <c r="F20" s="1135">
        <v>1081</v>
      </c>
      <c r="G20" s="927">
        <v>0.99590000000000001</v>
      </c>
      <c r="H20" s="927">
        <f t="shared" si="1"/>
        <v>0.65320028476834213</v>
      </c>
      <c r="I20" s="926">
        <v>3914761</v>
      </c>
      <c r="J20" s="943">
        <v>2557123</v>
      </c>
      <c r="K20" s="943">
        <v>205228</v>
      </c>
      <c r="L20" s="994">
        <f t="shared" si="0"/>
        <v>1152410</v>
      </c>
      <c r="M20" s="999" t="s">
        <v>737</v>
      </c>
      <c r="N20" s="1184" t="s">
        <v>738</v>
      </c>
      <c r="O20" s="855"/>
      <c r="P20" s="1162"/>
      <c r="Q20" s="1074"/>
      <c r="R20" s="1074"/>
      <c r="S20" s="1074"/>
      <c r="T20" s="1074"/>
      <c r="U20" s="1074"/>
      <c r="V20" s="1074"/>
      <c r="W20" s="1074"/>
      <c r="X20" s="1074"/>
      <c r="Y20" s="1074"/>
      <c r="Z20" s="1074"/>
      <c r="AA20" s="1074"/>
      <c r="AB20" s="1074"/>
      <c r="AC20" s="1074"/>
      <c r="AD20" s="1074"/>
      <c r="AE20" s="1074"/>
      <c r="AF20" s="1074"/>
      <c r="AG20" s="1074"/>
      <c r="AH20" s="1074"/>
      <c r="AI20" s="1074"/>
      <c r="AJ20" s="1074"/>
      <c r="AK20" s="1074"/>
      <c r="AL20" s="1074"/>
      <c r="AM20" s="1074"/>
      <c r="AN20" s="1074"/>
      <c r="AO20" s="1074"/>
      <c r="AP20" s="1074"/>
      <c r="AQ20" s="1074"/>
      <c r="AR20" s="1074"/>
      <c r="AS20" s="1074"/>
      <c r="AT20" s="1074"/>
      <c r="AU20" s="1074"/>
      <c r="AV20" s="1074"/>
      <c r="AW20" s="1074"/>
      <c r="AX20" s="1074"/>
      <c r="AY20" s="1074"/>
      <c r="AZ20" s="1074"/>
      <c r="BA20" s="1074"/>
      <c r="BB20" s="1074"/>
      <c r="BC20" s="1074"/>
      <c r="BD20" s="1074"/>
      <c r="BE20" s="1074"/>
      <c r="BF20" s="1074"/>
      <c r="BG20" s="1074"/>
      <c r="BH20" s="1074"/>
      <c r="BI20" s="1074"/>
      <c r="BJ20" s="1074"/>
      <c r="BK20" s="1074"/>
      <c r="BL20" s="1074"/>
      <c r="BM20" s="1074"/>
      <c r="BN20" s="1074"/>
      <c r="BO20" s="1074"/>
      <c r="BP20" s="1074"/>
      <c r="BQ20" s="1074"/>
      <c r="BR20" s="1074"/>
      <c r="BS20" s="1074"/>
      <c r="BT20" s="1074"/>
      <c r="BU20" s="1074"/>
      <c r="BV20" s="1074"/>
      <c r="BW20" s="1074"/>
    </row>
    <row r="21" spans="1:75" s="856" customFormat="1" ht="59.25" customHeight="1">
      <c r="A21" s="924">
        <v>14</v>
      </c>
      <c r="B21" s="1137" t="s">
        <v>649</v>
      </c>
      <c r="C21" s="1138" t="s">
        <v>41</v>
      </c>
      <c r="D21" s="923" t="s">
        <v>448</v>
      </c>
      <c r="E21" s="924" t="s">
        <v>23</v>
      </c>
      <c r="F21" s="923">
        <v>991</v>
      </c>
      <c r="G21" s="1132">
        <v>1</v>
      </c>
      <c r="H21" s="937">
        <f t="shared" si="1"/>
        <v>0.89334253630387617</v>
      </c>
      <c r="I21" s="926">
        <v>1302478</v>
      </c>
      <c r="J21" s="926">
        <v>1163559</v>
      </c>
      <c r="K21" s="926">
        <v>29750</v>
      </c>
      <c r="L21" s="994">
        <f t="shared" si="0"/>
        <v>109169</v>
      </c>
      <c r="M21" s="923" t="s">
        <v>739</v>
      </c>
      <c r="N21" s="1185" t="s">
        <v>633</v>
      </c>
      <c r="O21" s="840"/>
      <c r="P21" s="1163"/>
      <c r="Q21" s="1163"/>
      <c r="R21" s="1163"/>
      <c r="S21" s="1163"/>
      <c r="T21" s="1163"/>
      <c r="U21" s="1163"/>
      <c r="V21" s="1163"/>
      <c r="W21" s="1163"/>
      <c r="X21" s="1163"/>
      <c r="Y21" s="1163"/>
      <c r="Z21" s="1163"/>
      <c r="AA21" s="1163"/>
      <c r="AB21" s="1163"/>
      <c r="AC21" s="1163"/>
      <c r="AD21" s="1163"/>
      <c r="AE21" s="1163"/>
      <c r="AF21" s="1163"/>
      <c r="AG21" s="1163"/>
      <c r="AH21" s="1163"/>
      <c r="AI21" s="1163"/>
      <c r="AJ21" s="1163"/>
      <c r="AK21" s="1163"/>
      <c r="AL21" s="1163"/>
      <c r="AM21" s="1163"/>
      <c r="AN21" s="1163"/>
      <c r="AO21" s="1163"/>
      <c r="AP21" s="1163"/>
      <c r="AQ21" s="1163"/>
      <c r="AR21" s="1163"/>
      <c r="AS21" s="1163"/>
      <c r="AT21" s="1163"/>
      <c r="AU21" s="1163"/>
      <c r="AV21" s="1163"/>
      <c r="AW21" s="1163"/>
      <c r="AX21" s="1163"/>
      <c r="AY21" s="1163"/>
      <c r="AZ21" s="1163"/>
      <c r="BA21" s="1163"/>
      <c r="BB21" s="1163"/>
      <c r="BC21" s="1163"/>
      <c r="BD21" s="1163"/>
      <c r="BE21" s="1163"/>
      <c r="BF21" s="1163"/>
      <c r="BG21" s="1163"/>
      <c r="BH21" s="1163"/>
      <c r="BI21" s="1163"/>
      <c r="BJ21" s="1163"/>
      <c r="BK21" s="1163"/>
      <c r="BL21" s="1163"/>
      <c r="BM21" s="1163"/>
      <c r="BN21" s="1163"/>
      <c r="BO21" s="1163"/>
      <c r="BP21" s="1163"/>
      <c r="BQ21" s="1163"/>
      <c r="BR21" s="1163"/>
      <c r="BS21" s="1163"/>
      <c r="BT21" s="1163"/>
      <c r="BU21" s="1163"/>
      <c r="BV21" s="1163"/>
      <c r="BW21" s="1163"/>
    </row>
    <row r="22" spans="1:75" s="856" customFormat="1" ht="79.5" customHeight="1">
      <c r="A22" s="1008">
        <v>15</v>
      </c>
      <c r="B22" s="1137" t="s">
        <v>646</v>
      </c>
      <c r="C22" s="1138" t="s">
        <v>41</v>
      </c>
      <c r="D22" s="923" t="s">
        <v>740</v>
      </c>
      <c r="E22" s="924" t="s">
        <v>23</v>
      </c>
      <c r="F22" s="1139">
        <v>990</v>
      </c>
      <c r="G22" s="1132">
        <v>1</v>
      </c>
      <c r="H22" s="937">
        <f t="shared" si="1"/>
        <v>0.62998195047863781</v>
      </c>
      <c r="I22" s="926">
        <f>976335+421486</f>
        <v>1397821</v>
      </c>
      <c r="J22" s="926">
        <v>880602</v>
      </c>
      <c r="K22" s="926">
        <v>1502</v>
      </c>
      <c r="L22" s="994">
        <f t="shared" si="0"/>
        <v>515717</v>
      </c>
      <c r="M22" s="947" t="s">
        <v>741</v>
      </c>
      <c r="N22" s="1185" t="s">
        <v>648</v>
      </c>
      <c r="O22" s="840"/>
      <c r="P22" s="1163"/>
      <c r="Q22" s="1163"/>
      <c r="R22" s="1163"/>
      <c r="S22" s="1163"/>
      <c r="T22" s="1163"/>
      <c r="U22" s="1163"/>
      <c r="V22" s="1163"/>
      <c r="W22" s="1163"/>
      <c r="X22" s="1163"/>
      <c r="Y22" s="1163"/>
      <c r="Z22" s="1163"/>
      <c r="AA22" s="1163"/>
      <c r="AB22" s="1163"/>
      <c r="AC22" s="1163"/>
      <c r="AD22" s="1163"/>
      <c r="AE22" s="1163"/>
      <c r="AF22" s="1163"/>
      <c r="AG22" s="1163"/>
      <c r="AH22" s="1163"/>
      <c r="AI22" s="1163"/>
      <c r="AJ22" s="1163"/>
      <c r="AK22" s="1163"/>
      <c r="AL22" s="1163"/>
      <c r="AM22" s="1163"/>
      <c r="AN22" s="1163"/>
      <c r="AO22" s="1163"/>
      <c r="AP22" s="1163"/>
      <c r="AQ22" s="1163"/>
      <c r="AR22" s="1163"/>
      <c r="AS22" s="1163"/>
      <c r="AT22" s="1163"/>
      <c r="AU22" s="1163"/>
      <c r="AV22" s="1163"/>
      <c r="AW22" s="1163"/>
      <c r="AX22" s="1163"/>
      <c r="AY22" s="1163"/>
      <c r="AZ22" s="1163"/>
      <c r="BA22" s="1163"/>
      <c r="BB22" s="1163"/>
      <c r="BC22" s="1163"/>
      <c r="BD22" s="1163"/>
      <c r="BE22" s="1163"/>
      <c r="BF22" s="1163"/>
      <c r="BG22" s="1163"/>
      <c r="BH22" s="1163"/>
      <c r="BI22" s="1163"/>
      <c r="BJ22" s="1163"/>
      <c r="BK22" s="1163"/>
      <c r="BL22" s="1163"/>
      <c r="BM22" s="1163"/>
      <c r="BN22" s="1163"/>
      <c r="BO22" s="1163"/>
      <c r="BP22" s="1163"/>
      <c r="BQ22" s="1163"/>
      <c r="BR22" s="1163"/>
      <c r="BS22" s="1163"/>
      <c r="BT22" s="1163"/>
      <c r="BU22" s="1163"/>
      <c r="BV22" s="1163"/>
      <c r="BW22" s="1163"/>
    </row>
    <row r="23" spans="1:75" s="170" customFormat="1" ht="140.25">
      <c r="A23" s="924">
        <v>16</v>
      </c>
      <c r="B23" s="1137" t="s">
        <v>640</v>
      </c>
      <c r="C23" s="1138" t="s">
        <v>41</v>
      </c>
      <c r="D23" s="923" t="s">
        <v>740</v>
      </c>
      <c r="E23" s="924" t="s">
        <v>23</v>
      </c>
      <c r="F23" s="924">
        <v>411</v>
      </c>
      <c r="G23" s="1132">
        <v>1</v>
      </c>
      <c r="H23" s="937">
        <f t="shared" si="1"/>
        <v>0.98601088801102565</v>
      </c>
      <c r="I23" s="926">
        <f>1078753+853464</f>
        <v>1932217</v>
      </c>
      <c r="J23" s="926">
        <v>1905187</v>
      </c>
      <c r="K23" s="926">
        <v>0</v>
      </c>
      <c r="L23" s="994">
        <f t="shared" si="0"/>
        <v>27030</v>
      </c>
      <c r="M23" s="1140" t="s">
        <v>641</v>
      </c>
      <c r="N23" s="1185" t="s">
        <v>742</v>
      </c>
      <c r="O23" s="246"/>
      <c r="P23" s="1164"/>
      <c r="Q23" s="1164"/>
      <c r="R23" s="1164"/>
      <c r="S23" s="1164"/>
      <c r="T23" s="1164"/>
      <c r="U23" s="1164"/>
      <c r="V23" s="1164"/>
      <c r="W23" s="1164"/>
      <c r="X23" s="1164"/>
      <c r="Y23" s="1164"/>
      <c r="Z23" s="1164"/>
      <c r="AA23" s="1164"/>
      <c r="AB23" s="1164"/>
      <c r="AC23" s="1164"/>
      <c r="AD23" s="1164"/>
      <c r="AE23" s="1164"/>
      <c r="AF23" s="1164"/>
      <c r="AG23" s="1164"/>
      <c r="AH23" s="1164"/>
      <c r="AI23" s="1164"/>
      <c r="AJ23" s="1164"/>
      <c r="AK23" s="1164"/>
      <c r="AL23" s="1164"/>
      <c r="AM23" s="1164"/>
      <c r="AN23" s="1164"/>
      <c r="AO23" s="1164"/>
      <c r="AP23" s="1164"/>
      <c r="AQ23" s="1164"/>
      <c r="AR23" s="1164"/>
      <c r="AS23" s="1164"/>
      <c r="AT23" s="1164"/>
      <c r="AU23" s="1164"/>
      <c r="AV23" s="1164"/>
      <c r="AW23" s="1164"/>
      <c r="AX23" s="1164"/>
      <c r="AY23" s="1164"/>
      <c r="AZ23" s="1164"/>
      <c r="BA23" s="1164"/>
      <c r="BB23" s="1164"/>
      <c r="BC23" s="1164"/>
      <c r="BD23" s="1164"/>
      <c r="BE23" s="1164"/>
      <c r="BF23" s="1164"/>
      <c r="BG23" s="1164"/>
      <c r="BH23" s="1164"/>
      <c r="BI23" s="1164"/>
      <c r="BJ23" s="1164"/>
      <c r="BK23" s="1164"/>
      <c r="BL23" s="1164"/>
      <c r="BM23" s="1164"/>
      <c r="BN23" s="1164"/>
      <c r="BO23" s="1164"/>
      <c r="BP23" s="1164"/>
      <c r="BQ23" s="1164"/>
      <c r="BR23" s="1164"/>
      <c r="BS23" s="1164"/>
      <c r="BT23" s="1164"/>
      <c r="BU23" s="1164"/>
      <c r="BV23" s="1164"/>
      <c r="BW23" s="1164"/>
    </row>
    <row r="24" spans="1:75" s="170" customFormat="1" ht="60.75" customHeight="1">
      <c r="A24" s="1008">
        <v>17</v>
      </c>
      <c r="B24" s="1141" t="s">
        <v>657</v>
      </c>
      <c r="C24" s="1138" t="s">
        <v>41</v>
      </c>
      <c r="D24" s="923" t="s">
        <v>740</v>
      </c>
      <c r="E24" s="924" t="s">
        <v>23</v>
      </c>
      <c r="F24" s="1139">
        <v>401</v>
      </c>
      <c r="G24" s="1132">
        <v>1</v>
      </c>
      <c r="H24" s="937">
        <f t="shared" si="1"/>
        <v>0.54274874853035648</v>
      </c>
      <c r="I24" s="928">
        <v>1650060</v>
      </c>
      <c r="J24" s="926">
        <v>895568</v>
      </c>
      <c r="K24" s="926">
        <v>0</v>
      </c>
      <c r="L24" s="994">
        <f t="shared" si="0"/>
        <v>754492</v>
      </c>
      <c r="M24" s="923" t="s">
        <v>635</v>
      </c>
      <c r="N24" s="1185" t="s">
        <v>743</v>
      </c>
      <c r="O24" s="246"/>
      <c r="P24" s="1164"/>
      <c r="Q24" s="1164"/>
      <c r="R24" s="1164"/>
      <c r="S24" s="1164"/>
      <c r="T24" s="1164"/>
      <c r="U24" s="1164"/>
      <c r="V24" s="1164"/>
      <c r="W24" s="1164"/>
      <c r="X24" s="1164"/>
      <c r="Y24" s="1164"/>
      <c r="Z24" s="1164"/>
      <c r="AA24" s="1164"/>
      <c r="AB24" s="1164"/>
      <c r="AC24" s="1164"/>
      <c r="AD24" s="1164"/>
      <c r="AE24" s="1164"/>
      <c r="AF24" s="1164"/>
      <c r="AG24" s="1164"/>
      <c r="AH24" s="1164"/>
      <c r="AI24" s="1164"/>
      <c r="AJ24" s="1164"/>
      <c r="AK24" s="1164"/>
      <c r="AL24" s="1164"/>
      <c r="AM24" s="1164"/>
      <c r="AN24" s="1164"/>
      <c r="AO24" s="1164"/>
      <c r="AP24" s="1164"/>
      <c r="AQ24" s="1164"/>
      <c r="AR24" s="1164"/>
      <c r="AS24" s="1164"/>
      <c r="AT24" s="1164"/>
      <c r="AU24" s="1164"/>
      <c r="AV24" s="1164"/>
      <c r="AW24" s="1164"/>
      <c r="AX24" s="1164"/>
      <c r="AY24" s="1164"/>
      <c r="AZ24" s="1164"/>
      <c r="BA24" s="1164"/>
      <c r="BB24" s="1164"/>
      <c r="BC24" s="1164"/>
      <c r="BD24" s="1164"/>
      <c r="BE24" s="1164"/>
      <c r="BF24" s="1164"/>
      <c r="BG24" s="1164"/>
      <c r="BH24" s="1164"/>
      <c r="BI24" s="1164"/>
      <c r="BJ24" s="1164"/>
      <c r="BK24" s="1164"/>
      <c r="BL24" s="1164"/>
      <c r="BM24" s="1164"/>
      <c r="BN24" s="1164"/>
      <c r="BO24" s="1164"/>
      <c r="BP24" s="1164"/>
      <c r="BQ24" s="1164"/>
      <c r="BR24" s="1164"/>
      <c r="BS24" s="1164"/>
      <c r="BT24" s="1164"/>
      <c r="BU24" s="1164"/>
      <c r="BV24" s="1164"/>
      <c r="BW24" s="1164"/>
    </row>
    <row r="25" spans="1:75" s="170" customFormat="1" ht="102">
      <c r="A25" s="924">
        <v>18</v>
      </c>
      <c r="B25" s="1141" t="s">
        <v>744</v>
      </c>
      <c r="C25" s="1138" t="s">
        <v>41</v>
      </c>
      <c r="D25" s="923" t="s">
        <v>740</v>
      </c>
      <c r="E25" s="924" t="s">
        <v>23</v>
      </c>
      <c r="F25" s="924">
        <v>399</v>
      </c>
      <c r="G25" s="1132">
        <v>1</v>
      </c>
      <c r="H25" s="937">
        <f t="shared" si="1"/>
        <v>0.78748977351865335</v>
      </c>
      <c r="I25" s="926">
        <v>887402</v>
      </c>
      <c r="J25" s="926">
        <f>697286+1534</f>
        <v>698820</v>
      </c>
      <c r="K25" s="926">
        <v>0</v>
      </c>
      <c r="L25" s="994">
        <f t="shared" si="0"/>
        <v>188582</v>
      </c>
      <c r="M25" s="923" t="s">
        <v>745</v>
      </c>
      <c r="N25" s="1185" t="s">
        <v>680</v>
      </c>
      <c r="O25" s="246"/>
      <c r="P25" s="1164"/>
      <c r="Q25" s="1164"/>
      <c r="R25" s="1164"/>
      <c r="S25" s="1164"/>
      <c r="T25" s="1164"/>
      <c r="U25" s="1164"/>
      <c r="V25" s="1164"/>
      <c r="W25" s="1164"/>
      <c r="X25" s="1164"/>
      <c r="Y25" s="1164"/>
      <c r="Z25" s="1164"/>
      <c r="AA25" s="1164"/>
      <c r="AB25" s="1164"/>
      <c r="AC25" s="1164"/>
      <c r="AD25" s="1164"/>
      <c r="AE25" s="1164"/>
      <c r="AF25" s="1164"/>
      <c r="AG25" s="1164"/>
      <c r="AH25" s="1164"/>
      <c r="AI25" s="1164"/>
      <c r="AJ25" s="1164"/>
      <c r="AK25" s="1164"/>
      <c r="AL25" s="1164"/>
      <c r="AM25" s="1164"/>
      <c r="AN25" s="1164"/>
      <c r="AO25" s="1164"/>
      <c r="AP25" s="1164"/>
      <c r="AQ25" s="1164"/>
      <c r="AR25" s="1164"/>
      <c r="AS25" s="1164"/>
      <c r="AT25" s="1164"/>
      <c r="AU25" s="1164"/>
      <c r="AV25" s="1164"/>
      <c r="AW25" s="1164"/>
      <c r="AX25" s="1164"/>
      <c r="AY25" s="1164"/>
      <c r="AZ25" s="1164"/>
      <c r="BA25" s="1164"/>
      <c r="BB25" s="1164"/>
      <c r="BC25" s="1164"/>
      <c r="BD25" s="1164"/>
      <c r="BE25" s="1164"/>
      <c r="BF25" s="1164"/>
      <c r="BG25" s="1164"/>
      <c r="BH25" s="1164"/>
      <c r="BI25" s="1164"/>
      <c r="BJ25" s="1164"/>
      <c r="BK25" s="1164"/>
      <c r="BL25" s="1164"/>
      <c r="BM25" s="1164"/>
      <c r="BN25" s="1164"/>
      <c r="BO25" s="1164"/>
      <c r="BP25" s="1164"/>
      <c r="BQ25" s="1164"/>
      <c r="BR25" s="1164"/>
      <c r="BS25" s="1164"/>
      <c r="BT25" s="1164"/>
      <c r="BU25" s="1164"/>
      <c r="BV25" s="1164"/>
      <c r="BW25" s="1164"/>
    </row>
    <row r="26" spans="1:75" s="170" customFormat="1" ht="140.25">
      <c r="A26" s="1008">
        <v>19</v>
      </c>
      <c r="B26" s="1137" t="s">
        <v>746</v>
      </c>
      <c r="C26" s="1138" t="s">
        <v>41</v>
      </c>
      <c r="D26" s="923" t="s">
        <v>740</v>
      </c>
      <c r="E26" s="924" t="s">
        <v>23</v>
      </c>
      <c r="F26" s="923">
        <v>412</v>
      </c>
      <c r="G26" s="1132">
        <v>1</v>
      </c>
      <c r="H26" s="937">
        <f t="shared" si="1"/>
        <v>0.98533784056720763</v>
      </c>
      <c r="I26" s="926">
        <v>1807169</v>
      </c>
      <c r="J26" s="926">
        <v>1780672</v>
      </c>
      <c r="K26" s="926">
        <v>250</v>
      </c>
      <c r="L26" s="994">
        <f t="shared" si="0"/>
        <v>26247</v>
      </c>
      <c r="M26" s="923" t="s">
        <v>682</v>
      </c>
      <c r="N26" s="1185" t="s">
        <v>747</v>
      </c>
      <c r="O26" s="246"/>
      <c r="P26" s="1164"/>
      <c r="Q26" s="1164"/>
      <c r="R26" s="1164"/>
      <c r="S26" s="1164"/>
      <c r="T26" s="1164"/>
      <c r="U26" s="1164"/>
      <c r="V26" s="1164"/>
      <c r="W26" s="1164"/>
      <c r="X26" s="1164"/>
      <c r="Y26" s="1164"/>
      <c r="Z26" s="1164"/>
      <c r="AA26" s="1164"/>
      <c r="AB26" s="1164"/>
      <c r="AC26" s="1164"/>
      <c r="AD26" s="1164"/>
      <c r="AE26" s="1164"/>
      <c r="AF26" s="1164"/>
      <c r="AG26" s="1164"/>
      <c r="AH26" s="1164"/>
      <c r="AI26" s="1164"/>
      <c r="AJ26" s="1164"/>
      <c r="AK26" s="1164"/>
      <c r="AL26" s="1164"/>
      <c r="AM26" s="1164"/>
      <c r="AN26" s="1164"/>
      <c r="AO26" s="1164"/>
      <c r="AP26" s="1164"/>
      <c r="AQ26" s="1164"/>
      <c r="AR26" s="1164"/>
      <c r="AS26" s="1164"/>
      <c r="AT26" s="1164"/>
      <c r="AU26" s="1164"/>
      <c r="AV26" s="1164"/>
      <c r="AW26" s="1164"/>
      <c r="AX26" s="1164"/>
      <c r="AY26" s="1164"/>
      <c r="AZ26" s="1164"/>
      <c r="BA26" s="1164"/>
      <c r="BB26" s="1164"/>
      <c r="BC26" s="1164"/>
      <c r="BD26" s="1164"/>
      <c r="BE26" s="1164"/>
      <c r="BF26" s="1164"/>
      <c r="BG26" s="1164"/>
      <c r="BH26" s="1164"/>
      <c r="BI26" s="1164"/>
      <c r="BJ26" s="1164"/>
      <c r="BK26" s="1164"/>
      <c r="BL26" s="1164"/>
      <c r="BM26" s="1164"/>
      <c r="BN26" s="1164"/>
      <c r="BO26" s="1164"/>
      <c r="BP26" s="1164"/>
      <c r="BQ26" s="1164"/>
      <c r="BR26" s="1164"/>
      <c r="BS26" s="1164"/>
      <c r="BT26" s="1164"/>
      <c r="BU26" s="1164"/>
      <c r="BV26" s="1164"/>
      <c r="BW26" s="1164"/>
    </row>
    <row r="27" spans="1:75" s="170" customFormat="1" ht="38.25">
      <c r="A27" s="924">
        <v>20</v>
      </c>
      <c r="B27" s="944" t="s">
        <v>659</v>
      </c>
      <c r="C27" s="1138" t="s">
        <v>41</v>
      </c>
      <c r="D27" s="923" t="s">
        <v>740</v>
      </c>
      <c r="E27" s="924" t="s">
        <v>23</v>
      </c>
      <c r="F27" s="924">
        <v>982</v>
      </c>
      <c r="G27" s="1142">
        <v>1</v>
      </c>
      <c r="H27" s="937">
        <f t="shared" si="1"/>
        <v>0.75639973311444875</v>
      </c>
      <c r="I27" s="926">
        <v>416658</v>
      </c>
      <c r="J27" s="926">
        <v>315160</v>
      </c>
      <c r="K27" s="926">
        <f>0</f>
        <v>0</v>
      </c>
      <c r="L27" s="994">
        <f t="shared" si="0"/>
        <v>101498</v>
      </c>
      <c r="M27" s="923" t="s">
        <v>748</v>
      </c>
      <c r="N27" s="1185" t="s">
        <v>660</v>
      </c>
      <c r="O27" s="246"/>
      <c r="P27" s="1164"/>
      <c r="Q27" s="1164"/>
      <c r="R27" s="1164"/>
      <c r="S27" s="1164"/>
      <c r="T27" s="1164"/>
      <c r="U27" s="1164"/>
      <c r="V27" s="1164"/>
      <c r="W27" s="1164"/>
      <c r="X27" s="1164"/>
      <c r="Y27" s="1164"/>
      <c r="Z27" s="1164"/>
      <c r="AA27" s="1164"/>
      <c r="AB27" s="1164"/>
      <c r="AC27" s="1164"/>
      <c r="AD27" s="1164"/>
      <c r="AE27" s="1164"/>
      <c r="AF27" s="1164"/>
      <c r="AG27" s="1164"/>
      <c r="AH27" s="1164"/>
      <c r="AI27" s="1164"/>
      <c r="AJ27" s="1164"/>
      <c r="AK27" s="1164"/>
      <c r="AL27" s="1164"/>
      <c r="AM27" s="1164"/>
      <c r="AN27" s="1164"/>
      <c r="AO27" s="1164"/>
      <c r="AP27" s="1164"/>
      <c r="AQ27" s="1164"/>
      <c r="AR27" s="1164"/>
      <c r="AS27" s="1164"/>
      <c r="AT27" s="1164"/>
      <c r="AU27" s="1164"/>
      <c r="AV27" s="1164"/>
      <c r="AW27" s="1164"/>
      <c r="AX27" s="1164"/>
      <c r="AY27" s="1164"/>
      <c r="AZ27" s="1164"/>
      <c r="BA27" s="1164"/>
      <c r="BB27" s="1164"/>
      <c r="BC27" s="1164"/>
      <c r="BD27" s="1164"/>
      <c r="BE27" s="1164"/>
      <c r="BF27" s="1164"/>
      <c r="BG27" s="1164"/>
      <c r="BH27" s="1164"/>
      <c r="BI27" s="1164"/>
      <c r="BJ27" s="1164"/>
      <c r="BK27" s="1164"/>
      <c r="BL27" s="1164"/>
      <c r="BM27" s="1164"/>
      <c r="BN27" s="1164"/>
      <c r="BO27" s="1164"/>
      <c r="BP27" s="1164"/>
      <c r="BQ27" s="1164"/>
      <c r="BR27" s="1164"/>
      <c r="BS27" s="1164"/>
      <c r="BT27" s="1164"/>
      <c r="BU27" s="1164"/>
      <c r="BV27" s="1164"/>
      <c r="BW27" s="1164"/>
    </row>
    <row r="28" spans="1:75" s="170" customFormat="1" ht="39" customHeight="1">
      <c r="A28" s="1008">
        <v>21</v>
      </c>
      <c r="B28" s="944" t="s">
        <v>749</v>
      </c>
      <c r="C28" s="1138" t="s">
        <v>41</v>
      </c>
      <c r="D28" s="923" t="s">
        <v>740</v>
      </c>
      <c r="E28" s="924" t="s">
        <v>23</v>
      </c>
      <c r="F28" s="924">
        <v>1082</v>
      </c>
      <c r="G28" s="1132">
        <v>1</v>
      </c>
      <c r="H28" s="937">
        <f t="shared" si="1"/>
        <v>0.51778606453122666</v>
      </c>
      <c r="I28" s="926">
        <v>461513</v>
      </c>
      <c r="J28" s="926">
        <v>238965</v>
      </c>
      <c r="K28" s="926">
        <v>23691</v>
      </c>
      <c r="L28" s="994">
        <f t="shared" si="0"/>
        <v>198857</v>
      </c>
      <c r="M28" s="923" t="s">
        <v>750</v>
      </c>
      <c r="N28" s="1186" t="s">
        <v>633</v>
      </c>
      <c r="O28" s="246"/>
      <c r="P28" s="1164"/>
      <c r="Q28" s="1164"/>
      <c r="R28" s="1164"/>
      <c r="S28" s="1164"/>
      <c r="T28" s="1164"/>
      <c r="U28" s="1164"/>
      <c r="V28" s="1164"/>
      <c r="W28" s="1164"/>
      <c r="X28" s="1164"/>
      <c r="Y28" s="1164"/>
      <c r="Z28" s="1164"/>
      <c r="AA28" s="1164"/>
      <c r="AB28" s="1164"/>
      <c r="AC28" s="1164"/>
      <c r="AD28" s="1164"/>
      <c r="AE28" s="1164"/>
      <c r="AF28" s="1164"/>
      <c r="AG28" s="1164"/>
      <c r="AH28" s="1164"/>
      <c r="AI28" s="1164"/>
      <c r="AJ28" s="1164"/>
      <c r="AK28" s="1164"/>
      <c r="AL28" s="1164"/>
      <c r="AM28" s="1164"/>
      <c r="AN28" s="1164"/>
      <c r="AO28" s="1164"/>
      <c r="AP28" s="1164"/>
      <c r="AQ28" s="1164"/>
      <c r="AR28" s="1164"/>
      <c r="AS28" s="1164"/>
      <c r="AT28" s="1164"/>
      <c r="AU28" s="1164"/>
      <c r="AV28" s="1164"/>
      <c r="AW28" s="1164"/>
      <c r="AX28" s="1164"/>
      <c r="AY28" s="1164"/>
      <c r="AZ28" s="1164"/>
      <c r="BA28" s="1164"/>
      <c r="BB28" s="1164"/>
      <c r="BC28" s="1164"/>
      <c r="BD28" s="1164"/>
      <c r="BE28" s="1164"/>
      <c r="BF28" s="1164"/>
      <c r="BG28" s="1164"/>
      <c r="BH28" s="1164"/>
      <c r="BI28" s="1164"/>
      <c r="BJ28" s="1164"/>
      <c r="BK28" s="1164"/>
      <c r="BL28" s="1164"/>
      <c r="BM28" s="1164"/>
      <c r="BN28" s="1164"/>
      <c r="BO28" s="1164"/>
      <c r="BP28" s="1164"/>
      <c r="BQ28" s="1164"/>
      <c r="BR28" s="1164"/>
      <c r="BS28" s="1164"/>
      <c r="BT28" s="1164"/>
      <c r="BU28" s="1164"/>
      <c r="BV28" s="1164"/>
      <c r="BW28" s="1164"/>
    </row>
    <row r="29" spans="1:75" s="170" customFormat="1" ht="38.25">
      <c r="A29" s="924">
        <v>22</v>
      </c>
      <c r="B29" s="944" t="s">
        <v>751</v>
      </c>
      <c r="C29" s="1138" t="s">
        <v>41</v>
      </c>
      <c r="D29" s="923" t="s">
        <v>740</v>
      </c>
      <c r="E29" s="924" t="s">
        <v>23</v>
      </c>
      <c r="F29" s="923">
        <v>1083</v>
      </c>
      <c r="G29" s="1132">
        <v>1</v>
      </c>
      <c r="H29" s="937">
        <f t="shared" si="1"/>
        <v>0.44027119233900286</v>
      </c>
      <c r="I29" s="926">
        <v>321838</v>
      </c>
      <c r="J29" s="926">
        <v>141696</v>
      </c>
      <c r="K29" s="926">
        <f>0</f>
        <v>0</v>
      </c>
      <c r="L29" s="994">
        <f t="shared" si="0"/>
        <v>180142</v>
      </c>
      <c r="M29" s="923" t="s">
        <v>752</v>
      </c>
      <c r="N29" s="1185" t="s">
        <v>612</v>
      </c>
      <c r="O29" s="246"/>
      <c r="P29" s="1164"/>
      <c r="Q29" s="1164"/>
      <c r="R29" s="1164"/>
      <c r="S29" s="1164"/>
      <c r="T29" s="1164"/>
      <c r="U29" s="1164"/>
      <c r="V29" s="1164"/>
      <c r="W29" s="1164"/>
      <c r="X29" s="1164"/>
      <c r="Y29" s="1164"/>
      <c r="Z29" s="1164"/>
      <c r="AA29" s="1164"/>
      <c r="AB29" s="1164"/>
      <c r="AC29" s="1164"/>
      <c r="AD29" s="1164"/>
      <c r="AE29" s="1164"/>
      <c r="AF29" s="1164"/>
      <c r="AG29" s="1164"/>
      <c r="AH29" s="1164"/>
      <c r="AI29" s="1164"/>
      <c r="AJ29" s="1164"/>
      <c r="AK29" s="1164"/>
      <c r="AL29" s="1164"/>
      <c r="AM29" s="1164"/>
      <c r="AN29" s="1164"/>
      <c r="AO29" s="1164"/>
      <c r="AP29" s="1164"/>
      <c r="AQ29" s="1164"/>
      <c r="AR29" s="1164"/>
      <c r="AS29" s="1164"/>
      <c r="AT29" s="1164"/>
      <c r="AU29" s="1164"/>
      <c r="AV29" s="1164"/>
      <c r="AW29" s="1164"/>
      <c r="AX29" s="1164"/>
      <c r="AY29" s="1164"/>
      <c r="AZ29" s="1164"/>
      <c r="BA29" s="1164"/>
      <c r="BB29" s="1164"/>
      <c r="BC29" s="1164"/>
      <c r="BD29" s="1164"/>
      <c r="BE29" s="1164"/>
      <c r="BF29" s="1164"/>
      <c r="BG29" s="1164"/>
      <c r="BH29" s="1164"/>
      <c r="BI29" s="1164"/>
      <c r="BJ29" s="1164"/>
      <c r="BK29" s="1164"/>
      <c r="BL29" s="1164"/>
      <c r="BM29" s="1164"/>
      <c r="BN29" s="1164"/>
      <c r="BO29" s="1164"/>
      <c r="BP29" s="1164"/>
      <c r="BQ29" s="1164"/>
      <c r="BR29" s="1164"/>
      <c r="BS29" s="1164"/>
      <c r="BT29" s="1164"/>
      <c r="BU29" s="1164"/>
      <c r="BV29" s="1164"/>
      <c r="BW29" s="1164"/>
    </row>
    <row r="30" spans="1:75" s="170" customFormat="1" ht="75" customHeight="1">
      <c r="A30" s="1008">
        <v>23</v>
      </c>
      <c r="B30" s="944" t="s">
        <v>753</v>
      </c>
      <c r="C30" s="1138" t="s">
        <v>41</v>
      </c>
      <c r="D30" s="923" t="s">
        <v>740</v>
      </c>
      <c r="E30" s="924" t="s">
        <v>23</v>
      </c>
      <c r="F30" s="923">
        <v>1085</v>
      </c>
      <c r="G30" s="1132">
        <v>1</v>
      </c>
      <c r="H30" s="937">
        <f t="shared" si="1"/>
        <v>0.71586894684926483</v>
      </c>
      <c r="I30" s="926">
        <v>348744</v>
      </c>
      <c r="J30" s="926">
        <v>249655</v>
      </c>
      <c r="K30" s="926">
        <v>25000</v>
      </c>
      <c r="L30" s="994">
        <f t="shared" si="0"/>
        <v>74089</v>
      </c>
      <c r="M30" s="923" t="s">
        <v>644</v>
      </c>
      <c r="N30" s="1185" t="s">
        <v>699</v>
      </c>
      <c r="O30" s="246"/>
      <c r="P30" s="1164"/>
      <c r="Q30" s="1164"/>
      <c r="R30" s="1164"/>
      <c r="S30" s="1164"/>
      <c r="T30" s="1164"/>
      <c r="U30" s="1164"/>
      <c r="V30" s="1164"/>
      <c r="W30" s="1164"/>
      <c r="X30" s="1164"/>
      <c r="Y30" s="1164"/>
      <c r="Z30" s="1164"/>
      <c r="AA30" s="1164"/>
      <c r="AB30" s="1164"/>
      <c r="AC30" s="1164"/>
      <c r="AD30" s="1164"/>
      <c r="AE30" s="1164"/>
      <c r="AF30" s="1164"/>
      <c r="AG30" s="1164"/>
      <c r="AH30" s="1164"/>
      <c r="AI30" s="1164"/>
      <c r="AJ30" s="1164"/>
      <c r="AK30" s="1164"/>
      <c r="AL30" s="1164"/>
      <c r="AM30" s="1164"/>
      <c r="AN30" s="1164"/>
      <c r="AO30" s="1164"/>
      <c r="AP30" s="1164"/>
      <c r="AQ30" s="1164"/>
      <c r="AR30" s="1164"/>
      <c r="AS30" s="1164"/>
      <c r="AT30" s="1164"/>
      <c r="AU30" s="1164"/>
      <c r="AV30" s="1164"/>
      <c r="AW30" s="1164"/>
      <c r="AX30" s="1164"/>
      <c r="AY30" s="1164"/>
      <c r="AZ30" s="1164"/>
      <c r="BA30" s="1164"/>
      <c r="BB30" s="1164"/>
      <c r="BC30" s="1164"/>
      <c r="BD30" s="1164"/>
      <c r="BE30" s="1164"/>
      <c r="BF30" s="1164"/>
      <c r="BG30" s="1164"/>
      <c r="BH30" s="1164"/>
      <c r="BI30" s="1164"/>
      <c r="BJ30" s="1164"/>
      <c r="BK30" s="1164"/>
      <c r="BL30" s="1164"/>
      <c r="BM30" s="1164"/>
      <c r="BN30" s="1164"/>
      <c r="BO30" s="1164"/>
      <c r="BP30" s="1164"/>
      <c r="BQ30" s="1164"/>
      <c r="BR30" s="1164"/>
      <c r="BS30" s="1164"/>
      <c r="BT30" s="1164"/>
      <c r="BU30" s="1164"/>
      <c r="BV30" s="1164"/>
      <c r="BW30" s="1164"/>
    </row>
    <row r="31" spans="1:75" s="170" customFormat="1" ht="38.25">
      <c r="A31" s="924">
        <v>24</v>
      </c>
      <c r="B31" s="944" t="s">
        <v>754</v>
      </c>
      <c r="C31" s="1138" t="s">
        <v>41</v>
      </c>
      <c r="D31" s="923" t="s">
        <v>740</v>
      </c>
      <c r="E31" s="924" t="s">
        <v>23</v>
      </c>
      <c r="F31" s="924">
        <v>909</v>
      </c>
      <c r="G31" s="1142">
        <v>1</v>
      </c>
      <c r="H31" s="937">
        <f t="shared" si="1"/>
        <v>0.77651912179795568</v>
      </c>
      <c r="I31" s="926">
        <v>1174445</v>
      </c>
      <c r="J31" s="926">
        <v>911979</v>
      </c>
      <c r="K31" s="926">
        <v>14</v>
      </c>
      <c r="L31" s="994">
        <f t="shared" si="0"/>
        <v>262452</v>
      </c>
      <c r="M31" s="923" t="s">
        <v>755</v>
      </c>
      <c r="N31" s="1186" t="s">
        <v>639</v>
      </c>
      <c r="O31" s="246"/>
      <c r="P31" s="1164"/>
      <c r="Q31" s="1164"/>
      <c r="R31" s="1164"/>
      <c r="S31" s="1164"/>
      <c r="T31" s="1164"/>
      <c r="U31" s="1164"/>
      <c r="V31" s="1164"/>
      <c r="W31" s="1164"/>
      <c r="X31" s="1164"/>
      <c r="Y31" s="1164"/>
      <c r="Z31" s="1164"/>
      <c r="AA31" s="1164"/>
      <c r="AB31" s="1164"/>
      <c r="AC31" s="1164"/>
      <c r="AD31" s="1164"/>
      <c r="AE31" s="1164"/>
      <c r="AF31" s="1164"/>
      <c r="AG31" s="1164"/>
      <c r="AH31" s="1164"/>
      <c r="AI31" s="1164"/>
      <c r="AJ31" s="1164"/>
      <c r="AK31" s="1164"/>
      <c r="AL31" s="1164"/>
      <c r="AM31" s="1164"/>
      <c r="AN31" s="1164"/>
      <c r="AO31" s="1164"/>
      <c r="AP31" s="1164"/>
      <c r="AQ31" s="1164"/>
      <c r="AR31" s="1164"/>
      <c r="AS31" s="1164"/>
      <c r="AT31" s="1164"/>
      <c r="AU31" s="1164"/>
      <c r="AV31" s="1164"/>
      <c r="AW31" s="1164"/>
      <c r="AX31" s="1164"/>
      <c r="AY31" s="1164"/>
      <c r="AZ31" s="1164"/>
      <c r="BA31" s="1164"/>
      <c r="BB31" s="1164"/>
      <c r="BC31" s="1164"/>
      <c r="BD31" s="1164"/>
      <c r="BE31" s="1164"/>
      <c r="BF31" s="1164"/>
      <c r="BG31" s="1164"/>
      <c r="BH31" s="1164"/>
      <c r="BI31" s="1164"/>
      <c r="BJ31" s="1164"/>
      <c r="BK31" s="1164"/>
      <c r="BL31" s="1164"/>
      <c r="BM31" s="1164"/>
      <c r="BN31" s="1164"/>
      <c r="BO31" s="1164"/>
      <c r="BP31" s="1164"/>
      <c r="BQ31" s="1164"/>
      <c r="BR31" s="1164"/>
      <c r="BS31" s="1164"/>
      <c r="BT31" s="1164"/>
      <c r="BU31" s="1164"/>
      <c r="BV31" s="1164"/>
      <c r="BW31" s="1164"/>
    </row>
    <row r="32" spans="1:75" s="170" customFormat="1" ht="48" customHeight="1">
      <c r="A32" s="1008">
        <v>25</v>
      </c>
      <c r="B32" s="944" t="s">
        <v>756</v>
      </c>
      <c r="C32" s="1138" t="s">
        <v>41</v>
      </c>
      <c r="D32" s="923" t="s">
        <v>740</v>
      </c>
      <c r="E32" s="924" t="s">
        <v>23</v>
      </c>
      <c r="F32" s="924">
        <v>996</v>
      </c>
      <c r="G32" s="1142">
        <v>1</v>
      </c>
      <c r="H32" s="937">
        <f t="shared" si="1"/>
        <v>0.80630003349680279</v>
      </c>
      <c r="I32" s="926">
        <v>531394</v>
      </c>
      <c r="J32" s="926">
        <v>428463</v>
      </c>
      <c r="K32" s="926">
        <v>9000</v>
      </c>
      <c r="L32" s="994">
        <f t="shared" si="0"/>
        <v>93931</v>
      </c>
      <c r="M32" s="923" t="s">
        <v>757</v>
      </c>
      <c r="N32" s="1185" t="s">
        <v>645</v>
      </c>
      <c r="O32" s="246"/>
      <c r="P32" s="1164"/>
      <c r="Q32" s="1164"/>
      <c r="R32" s="1164"/>
      <c r="S32" s="1164"/>
      <c r="T32" s="1164"/>
      <c r="U32" s="1164"/>
      <c r="V32" s="1164"/>
      <c r="W32" s="1164"/>
      <c r="X32" s="1164"/>
      <c r="Y32" s="1164"/>
      <c r="Z32" s="1164"/>
      <c r="AA32" s="1164"/>
      <c r="AB32" s="1164"/>
      <c r="AC32" s="1164"/>
      <c r="AD32" s="1164"/>
      <c r="AE32" s="1164"/>
      <c r="AF32" s="1164"/>
      <c r="AG32" s="1164"/>
      <c r="AH32" s="1164"/>
      <c r="AI32" s="1164"/>
      <c r="AJ32" s="1164"/>
      <c r="AK32" s="1164"/>
      <c r="AL32" s="1164"/>
      <c r="AM32" s="1164"/>
      <c r="AN32" s="1164"/>
      <c r="AO32" s="1164"/>
      <c r="AP32" s="1164"/>
      <c r="AQ32" s="1164"/>
      <c r="AR32" s="1164"/>
      <c r="AS32" s="1164"/>
      <c r="AT32" s="1164"/>
      <c r="AU32" s="1164"/>
      <c r="AV32" s="1164"/>
      <c r="AW32" s="1164"/>
      <c r="AX32" s="1164"/>
      <c r="AY32" s="1164"/>
      <c r="AZ32" s="1164"/>
      <c r="BA32" s="1164"/>
      <c r="BB32" s="1164"/>
      <c r="BC32" s="1164"/>
      <c r="BD32" s="1164"/>
      <c r="BE32" s="1164"/>
      <c r="BF32" s="1164"/>
      <c r="BG32" s="1164"/>
      <c r="BH32" s="1164"/>
      <c r="BI32" s="1164"/>
      <c r="BJ32" s="1164"/>
      <c r="BK32" s="1164"/>
      <c r="BL32" s="1164"/>
      <c r="BM32" s="1164"/>
      <c r="BN32" s="1164"/>
      <c r="BO32" s="1164"/>
      <c r="BP32" s="1164"/>
      <c r="BQ32" s="1164"/>
      <c r="BR32" s="1164"/>
      <c r="BS32" s="1164"/>
      <c r="BT32" s="1164"/>
      <c r="BU32" s="1164"/>
      <c r="BV32" s="1164"/>
      <c r="BW32" s="1164"/>
    </row>
    <row r="33" spans="1:75" s="170" customFormat="1" ht="25.5">
      <c r="A33" s="924">
        <v>26</v>
      </c>
      <c r="B33" s="944" t="s">
        <v>664</v>
      </c>
      <c r="C33" s="1138" t="s">
        <v>41</v>
      </c>
      <c r="D33" s="923" t="s">
        <v>740</v>
      </c>
      <c r="E33" s="924" t="s">
        <v>23</v>
      </c>
      <c r="F33" s="924">
        <v>418</v>
      </c>
      <c r="G33" s="1142">
        <v>1</v>
      </c>
      <c r="H33" s="937">
        <f t="shared" si="1"/>
        <v>0.63848522074595937</v>
      </c>
      <c r="I33" s="926">
        <v>373865.96</v>
      </c>
      <c r="J33" s="926">
        <v>238707.89</v>
      </c>
      <c r="K33" s="926">
        <f>0</f>
        <v>0</v>
      </c>
      <c r="L33" s="994">
        <f t="shared" si="0"/>
        <v>135158.07</v>
      </c>
      <c r="M33" s="923" t="s">
        <v>622</v>
      </c>
      <c r="N33" s="1185" t="s">
        <v>758</v>
      </c>
      <c r="O33" s="246"/>
      <c r="P33" s="1164"/>
      <c r="Q33" s="1164"/>
      <c r="R33" s="1164"/>
      <c r="S33" s="1164"/>
      <c r="T33" s="1164"/>
      <c r="U33" s="1164"/>
      <c r="V33" s="1164"/>
      <c r="W33" s="1164"/>
      <c r="X33" s="1164"/>
      <c r="Y33" s="1164"/>
      <c r="Z33" s="1164"/>
      <c r="AA33" s="1164"/>
      <c r="AB33" s="1164"/>
      <c r="AC33" s="1164"/>
      <c r="AD33" s="1164"/>
      <c r="AE33" s="1164"/>
      <c r="AF33" s="1164"/>
      <c r="AG33" s="1164"/>
      <c r="AH33" s="1164"/>
      <c r="AI33" s="1164"/>
      <c r="AJ33" s="1164"/>
      <c r="AK33" s="1164"/>
      <c r="AL33" s="1164"/>
      <c r="AM33" s="1164"/>
      <c r="AN33" s="1164"/>
      <c r="AO33" s="1164"/>
      <c r="AP33" s="1164"/>
      <c r="AQ33" s="1164"/>
      <c r="AR33" s="1164"/>
      <c r="AS33" s="1164"/>
      <c r="AT33" s="1164"/>
      <c r="AU33" s="1164"/>
      <c r="AV33" s="1164"/>
      <c r="AW33" s="1164"/>
      <c r="AX33" s="1164"/>
      <c r="AY33" s="1164"/>
      <c r="AZ33" s="1164"/>
      <c r="BA33" s="1164"/>
      <c r="BB33" s="1164"/>
      <c r="BC33" s="1164"/>
      <c r="BD33" s="1164"/>
      <c r="BE33" s="1164"/>
      <c r="BF33" s="1164"/>
      <c r="BG33" s="1164"/>
      <c r="BH33" s="1164"/>
      <c r="BI33" s="1164"/>
      <c r="BJ33" s="1164"/>
      <c r="BK33" s="1164"/>
      <c r="BL33" s="1164"/>
      <c r="BM33" s="1164"/>
      <c r="BN33" s="1164"/>
      <c r="BO33" s="1164"/>
      <c r="BP33" s="1164"/>
      <c r="BQ33" s="1164"/>
      <c r="BR33" s="1164"/>
      <c r="BS33" s="1164"/>
      <c r="BT33" s="1164"/>
      <c r="BU33" s="1164"/>
      <c r="BV33" s="1164"/>
      <c r="BW33" s="1164"/>
    </row>
    <row r="34" spans="1:75" s="170" customFormat="1" ht="25.5">
      <c r="A34" s="1008">
        <v>27</v>
      </c>
      <c r="B34" s="1143" t="s">
        <v>662</v>
      </c>
      <c r="C34" s="1138" t="s">
        <v>41</v>
      </c>
      <c r="D34" s="923" t="s">
        <v>740</v>
      </c>
      <c r="E34" s="924" t="s">
        <v>23</v>
      </c>
      <c r="F34" s="924">
        <v>418</v>
      </c>
      <c r="G34" s="1142">
        <v>1</v>
      </c>
      <c r="H34" s="937">
        <f t="shared" si="1"/>
        <v>0.60824291683667853</v>
      </c>
      <c r="I34" s="926">
        <v>282039.24</v>
      </c>
      <c r="J34" s="926">
        <f>166520.37+5028</f>
        <v>171548.37</v>
      </c>
      <c r="K34" s="926">
        <f>0</f>
        <v>0</v>
      </c>
      <c r="L34" s="994">
        <f t="shared" si="0"/>
        <v>110490.87</v>
      </c>
      <c r="M34" s="923" t="s">
        <v>663</v>
      </c>
      <c r="N34" s="1186" t="s">
        <v>758</v>
      </c>
      <c r="O34" s="246"/>
      <c r="P34" s="1164"/>
      <c r="Q34" s="1164"/>
      <c r="R34" s="1164"/>
      <c r="S34" s="1164"/>
      <c r="T34" s="1164"/>
      <c r="U34" s="1164"/>
      <c r="V34" s="1164"/>
      <c r="W34" s="1164"/>
      <c r="X34" s="1164"/>
      <c r="Y34" s="1164"/>
      <c r="Z34" s="1164"/>
      <c r="AA34" s="1164"/>
      <c r="AB34" s="1164"/>
      <c r="AC34" s="1164"/>
      <c r="AD34" s="1164"/>
      <c r="AE34" s="1164"/>
      <c r="AF34" s="1164"/>
      <c r="AG34" s="1164"/>
      <c r="AH34" s="1164"/>
      <c r="AI34" s="1164"/>
      <c r="AJ34" s="1164"/>
      <c r="AK34" s="1164"/>
      <c r="AL34" s="1164"/>
      <c r="AM34" s="1164"/>
      <c r="AN34" s="1164"/>
      <c r="AO34" s="1164"/>
      <c r="AP34" s="1164"/>
      <c r="AQ34" s="1164"/>
      <c r="AR34" s="1164"/>
      <c r="AS34" s="1164"/>
      <c r="AT34" s="1164"/>
      <c r="AU34" s="1164"/>
      <c r="AV34" s="1164"/>
      <c r="AW34" s="1164"/>
      <c r="AX34" s="1164"/>
      <c r="AY34" s="1164"/>
      <c r="AZ34" s="1164"/>
      <c r="BA34" s="1164"/>
      <c r="BB34" s="1164"/>
      <c r="BC34" s="1164"/>
      <c r="BD34" s="1164"/>
      <c r="BE34" s="1164"/>
      <c r="BF34" s="1164"/>
      <c r="BG34" s="1164"/>
      <c r="BH34" s="1164"/>
      <c r="BI34" s="1164"/>
      <c r="BJ34" s="1164"/>
      <c r="BK34" s="1164"/>
      <c r="BL34" s="1164"/>
      <c r="BM34" s="1164"/>
      <c r="BN34" s="1164"/>
      <c r="BO34" s="1164"/>
      <c r="BP34" s="1164"/>
      <c r="BQ34" s="1164"/>
      <c r="BR34" s="1164"/>
      <c r="BS34" s="1164"/>
      <c r="BT34" s="1164"/>
      <c r="BU34" s="1164"/>
      <c r="BV34" s="1164"/>
      <c r="BW34" s="1164"/>
    </row>
    <row r="35" spans="1:75" s="170" customFormat="1" ht="63.75">
      <c r="A35" s="924">
        <v>28</v>
      </c>
      <c r="B35" s="1144" t="s">
        <v>651</v>
      </c>
      <c r="C35" s="1138" t="s">
        <v>41</v>
      </c>
      <c r="D35" s="923" t="s">
        <v>740</v>
      </c>
      <c r="E35" s="924" t="s">
        <v>23</v>
      </c>
      <c r="F35" s="924">
        <v>1175</v>
      </c>
      <c r="G35" s="1132">
        <v>1</v>
      </c>
      <c r="H35" s="937">
        <f t="shared" si="1"/>
        <v>0.95753600354691348</v>
      </c>
      <c r="I35" s="926">
        <v>252614</v>
      </c>
      <c r="J35" s="926">
        <v>241887</v>
      </c>
      <c r="K35" s="926">
        <v>10723</v>
      </c>
      <c r="L35" s="994">
        <f t="shared" si="0"/>
        <v>4</v>
      </c>
      <c r="M35" s="923" t="s">
        <v>644</v>
      </c>
      <c r="N35" s="1185" t="s">
        <v>612</v>
      </c>
      <c r="O35" s="246"/>
      <c r="P35" s="1164"/>
      <c r="Q35" s="1164"/>
      <c r="R35" s="1164"/>
      <c r="S35" s="1164"/>
      <c r="T35" s="1164"/>
      <c r="U35" s="1164"/>
      <c r="V35" s="1164"/>
      <c r="W35" s="1164"/>
      <c r="X35" s="1164"/>
      <c r="Y35" s="1164"/>
      <c r="Z35" s="1164"/>
      <c r="AA35" s="1164"/>
      <c r="AB35" s="1164"/>
      <c r="AC35" s="1164"/>
      <c r="AD35" s="1164"/>
      <c r="AE35" s="1164"/>
      <c r="AF35" s="1164"/>
      <c r="AG35" s="1164"/>
      <c r="AH35" s="1164"/>
      <c r="AI35" s="1164"/>
      <c r="AJ35" s="1164"/>
      <c r="AK35" s="1164"/>
      <c r="AL35" s="1164"/>
      <c r="AM35" s="1164"/>
      <c r="AN35" s="1164"/>
      <c r="AO35" s="1164"/>
      <c r="AP35" s="1164"/>
      <c r="AQ35" s="1164"/>
      <c r="AR35" s="1164"/>
      <c r="AS35" s="1164"/>
      <c r="AT35" s="1164"/>
      <c r="AU35" s="1164"/>
      <c r="AV35" s="1164"/>
      <c r="AW35" s="1164"/>
      <c r="AX35" s="1164"/>
      <c r="AY35" s="1164"/>
      <c r="AZ35" s="1164"/>
      <c r="BA35" s="1164"/>
      <c r="BB35" s="1164"/>
      <c r="BC35" s="1164"/>
      <c r="BD35" s="1164"/>
      <c r="BE35" s="1164"/>
      <c r="BF35" s="1164"/>
      <c r="BG35" s="1164"/>
      <c r="BH35" s="1164"/>
      <c r="BI35" s="1164"/>
      <c r="BJ35" s="1164"/>
      <c r="BK35" s="1164"/>
      <c r="BL35" s="1164"/>
      <c r="BM35" s="1164"/>
      <c r="BN35" s="1164"/>
      <c r="BO35" s="1164"/>
      <c r="BP35" s="1164"/>
      <c r="BQ35" s="1164"/>
      <c r="BR35" s="1164"/>
      <c r="BS35" s="1164"/>
      <c r="BT35" s="1164"/>
      <c r="BU35" s="1164"/>
      <c r="BV35" s="1164"/>
      <c r="BW35" s="1164"/>
    </row>
    <row r="36" spans="1:75" s="170" customFormat="1" ht="147.75" customHeight="1">
      <c r="A36" s="1008">
        <v>29</v>
      </c>
      <c r="B36" s="944" t="s">
        <v>674</v>
      </c>
      <c r="C36" s="1138" t="s">
        <v>41</v>
      </c>
      <c r="D36" s="923" t="s">
        <v>740</v>
      </c>
      <c r="E36" s="924" t="s">
        <v>23</v>
      </c>
      <c r="F36" s="924">
        <v>1174</v>
      </c>
      <c r="G36" s="1142">
        <v>1</v>
      </c>
      <c r="H36" s="937">
        <f t="shared" si="1"/>
        <v>0.99999501673132463</v>
      </c>
      <c r="I36" s="926">
        <v>401343</v>
      </c>
      <c r="J36" s="926">
        <f>391188+10153</f>
        <v>401341</v>
      </c>
      <c r="K36" s="926">
        <f>0</f>
        <v>0</v>
      </c>
      <c r="L36" s="994">
        <f t="shared" si="0"/>
        <v>2</v>
      </c>
      <c r="M36" s="923" t="s">
        <v>635</v>
      </c>
      <c r="N36" s="1186" t="s">
        <v>675</v>
      </c>
      <c r="O36" s="246"/>
      <c r="P36" s="1164"/>
      <c r="Q36" s="1164"/>
      <c r="R36" s="1164"/>
      <c r="S36" s="1164"/>
      <c r="T36" s="1164"/>
      <c r="U36" s="1164"/>
      <c r="V36" s="1164"/>
      <c r="W36" s="1164"/>
      <c r="X36" s="1164"/>
      <c r="Y36" s="1164"/>
      <c r="Z36" s="1164"/>
      <c r="AA36" s="1164"/>
      <c r="AB36" s="1164"/>
      <c r="AC36" s="1164"/>
      <c r="AD36" s="1164"/>
      <c r="AE36" s="1164"/>
      <c r="AF36" s="1164"/>
      <c r="AG36" s="1164"/>
      <c r="AH36" s="1164"/>
      <c r="AI36" s="1164"/>
      <c r="AJ36" s="1164"/>
      <c r="AK36" s="1164"/>
      <c r="AL36" s="1164"/>
      <c r="AM36" s="1164"/>
      <c r="AN36" s="1164"/>
      <c r="AO36" s="1164"/>
      <c r="AP36" s="1164"/>
      <c r="AQ36" s="1164"/>
      <c r="AR36" s="1164"/>
      <c r="AS36" s="1164"/>
      <c r="AT36" s="1164"/>
      <c r="AU36" s="1164"/>
      <c r="AV36" s="1164"/>
      <c r="AW36" s="1164"/>
      <c r="AX36" s="1164"/>
      <c r="AY36" s="1164"/>
      <c r="AZ36" s="1164"/>
      <c r="BA36" s="1164"/>
      <c r="BB36" s="1164"/>
      <c r="BC36" s="1164"/>
      <c r="BD36" s="1164"/>
      <c r="BE36" s="1164"/>
      <c r="BF36" s="1164"/>
      <c r="BG36" s="1164"/>
      <c r="BH36" s="1164"/>
      <c r="BI36" s="1164"/>
      <c r="BJ36" s="1164"/>
      <c r="BK36" s="1164"/>
      <c r="BL36" s="1164"/>
      <c r="BM36" s="1164"/>
      <c r="BN36" s="1164"/>
      <c r="BO36" s="1164"/>
      <c r="BP36" s="1164"/>
      <c r="BQ36" s="1164"/>
      <c r="BR36" s="1164"/>
      <c r="BS36" s="1164"/>
      <c r="BT36" s="1164"/>
      <c r="BU36" s="1164"/>
      <c r="BV36" s="1164"/>
      <c r="BW36" s="1164"/>
    </row>
    <row r="37" spans="1:75" s="170" customFormat="1" ht="140.25">
      <c r="A37" s="924">
        <v>30</v>
      </c>
      <c r="B37" s="1143" t="s">
        <v>759</v>
      </c>
      <c r="C37" s="1138" t="s">
        <v>41</v>
      </c>
      <c r="D37" s="923" t="s">
        <v>740</v>
      </c>
      <c r="E37" s="924" t="s">
        <v>23</v>
      </c>
      <c r="F37" s="924">
        <v>1385</v>
      </c>
      <c r="G37" s="1142">
        <v>1</v>
      </c>
      <c r="H37" s="937">
        <f t="shared" si="1"/>
        <v>0.6753369462419877</v>
      </c>
      <c r="I37" s="926">
        <v>1140909</v>
      </c>
      <c r="J37" s="926">
        <v>770498</v>
      </c>
      <c r="K37" s="926">
        <v>0</v>
      </c>
      <c r="L37" s="994">
        <f t="shared" si="0"/>
        <v>370411</v>
      </c>
      <c r="M37" s="923" t="s">
        <v>760</v>
      </c>
      <c r="N37" s="1186" t="s">
        <v>761</v>
      </c>
      <c r="O37" s="246"/>
      <c r="P37" s="1164"/>
      <c r="Q37" s="1164"/>
      <c r="R37" s="1164"/>
      <c r="S37" s="1164"/>
      <c r="T37" s="1164"/>
      <c r="U37" s="1164"/>
      <c r="V37" s="1164"/>
      <c r="W37" s="1164"/>
      <c r="X37" s="1164"/>
      <c r="Y37" s="1164"/>
      <c r="Z37" s="1164"/>
      <c r="AA37" s="1164"/>
      <c r="AB37" s="1164"/>
      <c r="AC37" s="1164"/>
      <c r="AD37" s="1164"/>
      <c r="AE37" s="1164"/>
      <c r="AF37" s="1164"/>
      <c r="AG37" s="1164"/>
      <c r="AH37" s="1164"/>
      <c r="AI37" s="1164"/>
      <c r="AJ37" s="1164"/>
      <c r="AK37" s="1164"/>
      <c r="AL37" s="1164"/>
      <c r="AM37" s="1164"/>
      <c r="AN37" s="1164"/>
      <c r="AO37" s="1164"/>
      <c r="AP37" s="1164"/>
      <c r="AQ37" s="1164"/>
      <c r="AR37" s="1164"/>
      <c r="AS37" s="1164"/>
      <c r="AT37" s="1164"/>
      <c r="AU37" s="1164"/>
      <c r="AV37" s="1164"/>
      <c r="AW37" s="1164"/>
      <c r="AX37" s="1164"/>
      <c r="AY37" s="1164"/>
      <c r="AZ37" s="1164"/>
      <c r="BA37" s="1164"/>
      <c r="BB37" s="1164"/>
      <c r="BC37" s="1164"/>
      <c r="BD37" s="1164"/>
      <c r="BE37" s="1164"/>
      <c r="BF37" s="1164"/>
      <c r="BG37" s="1164"/>
      <c r="BH37" s="1164"/>
      <c r="BI37" s="1164"/>
      <c r="BJ37" s="1164"/>
      <c r="BK37" s="1164"/>
      <c r="BL37" s="1164"/>
      <c r="BM37" s="1164"/>
      <c r="BN37" s="1164"/>
      <c r="BO37" s="1164"/>
      <c r="BP37" s="1164"/>
      <c r="BQ37" s="1164"/>
      <c r="BR37" s="1164"/>
      <c r="BS37" s="1164"/>
      <c r="BT37" s="1164"/>
      <c r="BU37" s="1164"/>
      <c r="BV37" s="1164"/>
      <c r="BW37" s="1164"/>
    </row>
    <row r="38" spans="1:75" s="170" customFormat="1" ht="87" customHeight="1">
      <c r="A38" s="1008">
        <v>31</v>
      </c>
      <c r="B38" s="1143" t="s">
        <v>686</v>
      </c>
      <c r="C38" s="1138" t="s">
        <v>41</v>
      </c>
      <c r="D38" s="923" t="s">
        <v>740</v>
      </c>
      <c r="E38" s="924" t="s">
        <v>23</v>
      </c>
      <c r="F38" s="924">
        <v>1173</v>
      </c>
      <c r="G38" s="1132">
        <v>1</v>
      </c>
      <c r="H38" s="937">
        <f t="shared" si="1"/>
        <v>0.99999718675976612</v>
      </c>
      <c r="I38" s="926">
        <v>355462</v>
      </c>
      <c r="J38" s="926">
        <f>276794+78667</f>
        <v>355461</v>
      </c>
      <c r="K38" s="926">
        <f>0</f>
        <v>0</v>
      </c>
      <c r="L38" s="994">
        <f t="shared" si="0"/>
        <v>1</v>
      </c>
      <c r="M38" s="923" t="s">
        <v>614</v>
      </c>
      <c r="N38" s="1186" t="s">
        <v>762</v>
      </c>
      <c r="O38" s="246"/>
      <c r="P38" s="1164"/>
      <c r="Q38" s="1164"/>
      <c r="R38" s="1164"/>
      <c r="S38" s="1164"/>
      <c r="T38" s="1164"/>
      <c r="U38" s="1164"/>
      <c r="V38" s="1164"/>
      <c r="W38" s="1164"/>
      <c r="X38" s="1164"/>
      <c r="Y38" s="1164"/>
      <c r="Z38" s="1164"/>
      <c r="AA38" s="1164"/>
      <c r="AB38" s="1164"/>
      <c r="AC38" s="1164"/>
      <c r="AD38" s="1164"/>
      <c r="AE38" s="1164"/>
      <c r="AF38" s="1164"/>
      <c r="AG38" s="1164"/>
      <c r="AH38" s="1164"/>
      <c r="AI38" s="1164"/>
      <c r="AJ38" s="1164"/>
      <c r="AK38" s="1164"/>
      <c r="AL38" s="1164"/>
      <c r="AM38" s="1164"/>
      <c r="AN38" s="1164"/>
      <c r="AO38" s="1164"/>
      <c r="AP38" s="1164"/>
      <c r="AQ38" s="1164"/>
      <c r="AR38" s="1164"/>
      <c r="AS38" s="1164"/>
      <c r="AT38" s="1164"/>
      <c r="AU38" s="1164"/>
      <c r="AV38" s="1164"/>
      <c r="AW38" s="1164"/>
      <c r="AX38" s="1164"/>
      <c r="AY38" s="1164"/>
      <c r="AZ38" s="1164"/>
      <c r="BA38" s="1164"/>
      <c r="BB38" s="1164"/>
      <c r="BC38" s="1164"/>
      <c r="BD38" s="1164"/>
      <c r="BE38" s="1164"/>
      <c r="BF38" s="1164"/>
      <c r="BG38" s="1164"/>
      <c r="BH38" s="1164"/>
      <c r="BI38" s="1164"/>
      <c r="BJ38" s="1164"/>
      <c r="BK38" s="1164"/>
      <c r="BL38" s="1164"/>
      <c r="BM38" s="1164"/>
      <c r="BN38" s="1164"/>
      <c r="BO38" s="1164"/>
      <c r="BP38" s="1164"/>
      <c r="BQ38" s="1164"/>
      <c r="BR38" s="1164"/>
      <c r="BS38" s="1164"/>
      <c r="BT38" s="1164"/>
      <c r="BU38" s="1164"/>
      <c r="BV38" s="1164"/>
      <c r="BW38" s="1164"/>
    </row>
    <row r="39" spans="1:75" s="170" customFormat="1" ht="90.75" customHeight="1">
      <c r="A39" s="924">
        <v>32</v>
      </c>
      <c r="B39" s="1143" t="s">
        <v>676</v>
      </c>
      <c r="C39" s="1138" t="s">
        <v>41</v>
      </c>
      <c r="D39" s="923" t="s">
        <v>740</v>
      </c>
      <c r="E39" s="924" t="s">
        <v>23</v>
      </c>
      <c r="F39" s="924">
        <v>1165</v>
      </c>
      <c r="G39" s="1142">
        <v>1</v>
      </c>
      <c r="H39" s="937">
        <f t="shared" si="1"/>
        <v>0.99999119175548312</v>
      </c>
      <c r="I39" s="926">
        <v>227060</v>
      </c>
      <c r="J39" s="926">
        <v>227058</v>
      </c>
      <c r="K39" s="926">
        <f>0</f>
        <v>0</v>
      </c>
      <c r="L39" s="994">
        <f t="shared" si="0"/>
        <v>2</v>
      </c>
      <c r="M39" s="923" t="s">
        <v>666</v>
      </c>
      <c r="N39" s="1186" t="s">
        <v>763</v>
      </c>
      <c r="O39" s="246"/>
      <c r="P39" s="1164"/>
      <c r="Q39" s="1164"/>
      <c r="R39" s="1164"/>
      <c r="S39" s="1164"/>
      <c r="T39" s="1164"/>
      <c r="U39" s="1164"/>
      <c r="V39" s="1164"/>
      <c r="W39" s="1164"/>
      <c r="X39" s="1164"/>
      <c r="Y39" s="1164"/>
      <c r="Z39" s="1164"/>
      <c r="AA39" s="1164"/>
      <c r="AB39" s="1164"/>
      <c r="AC39" s="1164"/>
      <c r="AD39" s="1164"/>
      <c r="AE39" s="1164"/>
      <c r="AF39" s="1164"/>
      <c r="AG39" s="1164"/>
      <c r="AH39" s="1164"/>
      <c r="AI39" s="1164"/>
      <c r="AJ39" s="1164"/>
      <c r="AK39" s="1164"/>
      <c r="AL39" s="1164"/>
      <c r="AM39" s="1164"/>
      <c r="AN39" s="1164"/>
      <c r="AO39" s="1164"/>
      <c r="AP39" s="1164"/>
      <c r="AQ39" s="1164"/>
      <c r="AR39" s="1164"/>
      <c r="AS39" s="1164"/>
      <c r="AT39" s="1164"/>
      <c r="AU39" s="1164"/>
      <c r="AV39" s="1164"/>
      <c r="AW39" s="1164"/>
      <c r="AX39" s="1164"/>
      <c r="AY39" s="1164"/>
      <c r="AZ39" s="1164"/>
      <c r="BA39" s="1164"/>
      <c r="BB39" s="1164"/>
      <c r="BC39" s="1164"/>
      <c r="BD39" s="1164"/>
      <c r="BE39" s="1164"/>
      <c r="BF39" s="1164"/>
      <c r="BG39" s="1164"/>
      <c r="BH39" s="1164"/>
      <c r="BI39" s="1164"/>
      <c r="BJ39" s="1164"/>
      <c r="BK39" s="1164"/>
      <c r="BL39" s="1164"/>
      <c r="BM39" s="1164"/>
      <c r="BN39" s="1164"/>
      <c r="BO39" s="1164"/>
      <c r="BP39" s="1164"/>
      <c r="BQ39" s="1164"/>
      <c r="BR39" s="1164"/>
      <c r="BS39" s="1164"/>
      <c r="BT39" s="1164"/>
      <c r="BU39" s="1164"/>
      <c r="BV39" s="1164"/>
      <c r="BW39" s="1164"/>
    </row>
    <row r="40" spans="1:75" s="170" customFormat="1" ht="91.5" customHeight="1">
      <c r="A40" s="1008">
        <v>33</v>
      </c>
      <c r="B40" s="1143" t="s">
        <v>685</v>
      </c>
      <c r="C40" s="1138" t="s">
        <v>41</v>
      </c>
      <c r="D40" s="923" t="s">
        <v>740</v>
      </c>
      <c r="E40" s="924" t="s">
        <v>23</v>
      </c>
      <c r="F40" s="924">
        <v>1115</v>
      </c>
      <c r="G40" s="1142">
        <v>1</v>
      </c>
      <c r="H40" s="937">
        <f t="shared" si="1"/>
        <v>0.83898184385217478</v>
      </c>
      <c r="I40" s="926">
        <v>322976</v>
      </c>
      <c r="J40" s="926">
        <v>270971</v>
      </c>
      <c r="K40" s="926">
        <f>0</f>
        <v>0</v>
      </c>
      <c r="L40" s="994">
        <f t="shared" ref="L40:L65" si="2">I40-J40-K40</f>
        <v>52005</v>
      </c>
      <c r="M40" s="923" t="s">
        <v>614</v>
      </c>
      <c r="N40" s="1186" t="s">
        <v>763</v>
      </c>
      <c r="O40" s="246"/>
      <c r="P40" s="1164"/>
      <c r="Q40" s="1164"/>
      <c r="R40" s="1164"/>
      <c r="S40" s="1164"/>
      <c r="T40" s="1164"/>
      <c r="U40" s="1164"/>
      <c r="V40" s="1164"/>
      <c r="W40" s="1164"/>
      <c r="X40" s="1164"/>
      <c r="Y40" s="1164"/>
      <c r="Z40" s="1164"/>
      <c r="AA40" s="1164"/>
      <c r="AB40" s="1164"/>
      <c r="AC40" s="1164"/>
      <c r="AD40" s="1164"/>
      <c r="AE40" s="1164"/>
      <c r="AF40" s="1164"/>
      <c r="AG40" s="1164"/>
      <c r="AH40" s="1164"/>
      <c r="AI40" s="1164"/>
      <c r="AJ40" s="1164"/>
      <c r="AK40" s="1164"/>
      <c r="AL40" s="1164"/>
      <c r="AM40" s="1164"/>
      <c r="AN40" s="1164"/>
      <c r="AO40" s="1164"/>
      <c r="AP40" s="1164"/>
      <c r="AQ40" s="1164"/>
      <c r="AR40" s="1164"/>
      <c r="AS40" s="1164"/>
      <c r="AT40" s="1164"/>
      <c r="AU40" s="1164"/>
      <c r="AV40" s="1164"/>
      <c r="AW40" s="1164"/>
      <c r="AX40" s="1164"/>
      <c r="AY40" s="1164"/>
      <c r="AZ40" s="1164"/>
      <c r="BA40" s="1164"/>
      <c r="BB40" s="1164"/>
      <c r="BC40" s="1164"/>
      <c r="BD40" s="1164"/>
      <c r="BE40" s="1164"/>
      <c r="BF40" s="1164"/>
      <c r="BG40" s="1164"/>
      <c r="BH40" s="1164"/>
      <c r="BI40" s="1164"/>
      <c r="BJ40" s="1164"/>
      <c r="BK40" s="1164"/>
      <c r="BL40" s="1164"/>
      <c r="BM40" s="1164"/>
      <c r="BN40" s="1164"/>
      <c r="BO40" s="1164"/>
      <c r="BP40" s="1164"/>
      <c r="BQ40" s="1164"/>
      <c r="BR40" s="1164"/>
      <c r="BS40" s="1164"/>
      <c r="BT40" s="1164"/>
      <c r="BU40" s="1164"/>
      <c r="BV40" s="1164"/>
      <c r="BW40" s="1164"/>
    </row>
    <row r="41" spans="1:75" s="170" customFormat="1" ht="127.5">
      <c r="A41" s="924">
        <v>34</v>
      </c>
      <c r="B41" s="944" t="s">
        <v>764</v>
      </c>
      <c r="C41" s="1138" t="s">
        <v>41</v>
      </c>
      <c r="D41" s="923" t="s">
        <v>740</v>
      </c>
      <c r="E41" s="924" t="s">
        <v>23</v>
      </c>
      <c r="F41" s="924">
        <v>400</v>
      </c>
      <c r="G41" s="1142">
        <v>1</v>
      </c>
      <c r="H41" s="937">
        <f t="shared" si="1"/>
        <v>0.99515466120767204</v>
      </c>
      <c r="I41" s="926">
        <v>1455213</v>
      </c>
      <c r="J41" s="926">
        <v>1448162</v>
      </c>
      <c r="K41" s="926">
        <f>0</f>
        <v>0</v>
      </c>
      <c r="L41" s="994">
        <f t="shared" si="2"/>
        <v>7051</v>
      </c>
      <c r="M41" s="923" t="s">
        <v>666</v>
      </c>
      <c r="N41" s="1185" t="s">
        <v>684</v>
      </c>
      <c r="O41" s="246"/>
      <c r="P41" s="1164"/>
      <c r="Q41" s="1164"/>
      <c r="R41" s="1164"/>
      <c r="S41" s="1164"/>
      <c r="T41" s="1164"/>
      <c r="U41" s="1164"/>
      <c r="V41" s="1164"/>
      <c r="W41" s="1164"/>
      <c r="X41" s="1164"/>
      <c r="Y41" s="1164"/>
      <c r="Z41" s="1164"/>
      <c r="AA41" s="1164"/>
      <c r="AB41" s="1164"/>
      <c r="AC41" s="1164"/>
      <c r="AD41" s="1164"/>
      <c r="AE41" s="1164"/>
      <c r="AF41" s="1164"/>
      <c r="AG41" s="1164"/>
      <c r="AH41" s="1164"/>
      <c r="AI41" s="1164"/>
      <c r="AJ41" s="1164"/>
      <c r="AK41" s="1164"/>
      <c r="AL41" s="1164"/>
      <c r="AM41" s="1164"/>
      <c r="AN41" s="1164"/>
      <c r="AO41" s="1164"/>
      <c r="AP41" s="1164"/>
      <c r="AQ41" s="1164"/>
      <c r="AR41" s="1164"/>
      <c r="AS41" s="1164"/>
      <c r="AT41" s="1164"/>
      <c r="AU41" s="1164"/>
      <c r="AV41" s="1164"/>
      <c r="AW41" s="1164"/>
      <c r="AX41" s="1164"/>
      <c r="AY41" s="1164"/>
      <c r="AZ41" s="1164"/>
      <c r="BA41" s="1164"/>
      <c r="BB41" s="1164"/>
      <c r="BC41" s="1164"/>
      <c r="BD41" s="1164"/>
      <c r="BE41" s="1164"/>
      <c r="BF41" s="1164"/>
      <c r="BG41" s="1164"/>
      <c r="BH41" s="1164"/>
      <c r="BI41" s="1164"/>
      <c r="BJ41" s="1164"/>
      <c r="BK41" s="1164"/>
      <c r="BL41" s="1164"/>
      <c r="BM41" s="1164"/>
      <c r="BN41" s="1164"/>
      <c r="BO41" s="1164"/>
      <c r="BP41" s="1164"/>
      <c r="BQ41" s="1164"/>
      <c r="BR41" s="1164"/>
      <c r="BS41" s="1164"/>
      <c r="BT41" s="1164"/>
      <c r="BU41" s="1164"/>
      <c r="BV41" s="1164"/>
      <c r="BW41" s="1164"/>
    </row>
    <row r="42" spans="1:75" s="170" customFormat="1" ht="76.5">
      <c r="A42" s="1008">
        <v>35</v>
      </c>
      <c r="B42" s="944" t="s">
        <v>652</v>
      </c>
      <c r="C42" s="1138" t="s">
        <v>41</v>
      </c>
      <c r="D42" s="923" t="s">
        <v>740</v>
      </c>
      <c r="E42" s="924" t="s">
        <v>23</v>
      </c>
      <c r="F42" s="924">
        <v>397</v>
      </c>
      <c r="G42" s="1132">
        <v>1</v>
      </c>
      <c r="H42" s="937">
        <f t="shared" si="1"/>
        <v>0.78379107196771269</v>
      </c>
      <c r="I42" s="926">
        <v>775042</v>
      </c>
      <c r="J42" s="926">
        <v>607471</v>
      </c>
      <c r="K42" s="926">
        <v>0</v>
      </c>
      <c r="L42" s="994">
        <f t="shared" si="2"/>
        <v>167571</v>
      </c>
      <c r="M42" s="923" t="s">
        <v>653</v>
      </c>
      <c r="N42" s="1185" t="s">
        <v>654</v>
      </c>
      <c r="O42" s="246"/>
      <c r="P42" s="1164"/>
      <c r="Q42" s="1164"/>
      <c r="R42" s="1164"/>
      <c r="S42" s="1164"/>
      <c r="T42" s="1164"/>
      <c r="U42" s="1164"/>
      <c r="V42" s="1164"/>
      <c r="W42" s="1164"/>
      <c r="X42" s="1164"/>
      <c r="Y42" s="1164"/>
      <c r="Z42" s="1164"/>
      <c r="AA42" s="1164"/>
      <c r="AB42" s="1164"/>
      <c r="AC42" s="1164"/>
      <c r="AD42" s="1164"/>
      <c r="AE42" s="1164"/>
      <c r="AF42" s="1164"/>
      <c r="AG42" s="1164"/>
      <c r="AH42" s="1164"/>
      <c r="AI42" s="1164"/>
      <c r="AJ42" s="1164"/>
      <c r="AK42" s="1164"/>
      <c r="AL42" s="1164"/>
      <c r="AM42" s="1164"/>
      <c r="AN42" s="1164"/>
      <c r="AO42" s="1164"/>
      <c r="AP42" s="1164"/>
      <c r="AQ42" s="1164"/>
      <c r="AR42" s="1164"/>
      <c r="AS42" s="1164"/>
      <c r="AT42" s="1164"/>
      <c r="AU42" s="1164"/>
      <c r="AV42" s="1164"/>
      <c r="AW42" s="1164"/>
      <c r="AX42" s="1164"/>
      <c r="AY42" s="1164"/>
      <c r="AZ42" s="1164"/>
      <c r="BA42" s="1164"/>
      <c r="BB42" s="1164"/>
      <c r="BC42" s="1164"/>
      <c r="BD42" s="1164"/>
      <c r="BE42" s="1164"/>
      <c r="BF42" s="1164"/>
      <c r="BG42" s="1164"/>
      <c r="BH42" s="1164"/>
      <c r="BI42" s="1164"/>
      <c r="BJ42" s="1164"/>
      <c r="BK42" s="1164"/>
      <c r="BL42" s="1164"/>
      <c r="BM42" s="1164"/>
      <c r="BN42" s="1164"/>
      <c r="BO42" s="1164"/>
      <c r="BP42" s="1164"/>
      <c r="BQ42" s="1164"/>
      <c r="BR42" s="1164"/>
      <c r="BS42" s="1164"/>
      <c r="BT42" s="1164"/>
      <c r="BU42" s="1164"/>
      <c r="BV42" s="1164"/>
      <c r="BW42" s="1164"/>
    </row>
    <row r="43" spans="1:75" s="170" customFormat="1" ht="63.75">
      <c r="A43" s="924">
        <v>36</v>
      </c>
      <c r="B43" s="1144" t="s">
        <v>621</v>
      </c>
      <c r="C43" s="1138" t="s">
        <v>41</v>
      </c>
      <c r="D43" s="923" t="s">
        <v>740</v>
      </c>
      <c r="E43" s="924" t="s">
        <v>23</v>
      </c>
      <c r="F43" s="924">
        <v>393</v>
      </c>
      <c r="G43" s="1142">
        <v>1</v>
      </c>
      <c r="H43" s="937">
        <f t="shared" si="1"/>
        <v>0.6088662039429964</v>
      </c>
      <c r="I43" s="926">
        <v>433376</v>
      </c>
      <c r="J43" s="926">
        <v>263868</v>
      </c>
      <c r="K43" s="926">
        <v>0</v>
      </c>
      <c r="L43" s="994">
        <f t="shared" si="2"/>
        <v>169508</v>
      </c>
      <c r="M43" s="923" t="s">
        <v>622</v>
      </c>
      <c r="N43" s="1185" t="s">
        <v>765</v>
      </c>
      <c r="O43" s="246"/>
      <c r="P43" s="1164"/>
      <c r="Q43" s="1164"/>
      <c r="R43" s="1164"/>
      <c r="S43" s="1164"/>
      <c r="T43" s="1164"/>
      <c r="U43" s="1164"/>
      <c r="V43" s="1164"/>
      <c r="W43" s="1164"/>
      <c r="X43" s="1164"/>
      <c r="Y43" s="1164"/>
      <c r="Z43" s="1164"/>
      <c r="AA43" s="1164"/>
      <c r="AB43" s="1164"/>
      <c r="AC43" s="1164"/>
      <c r="AD43" s="1164"/>
      <c r="AE43" s="1164"/>
      <c r="AF43" s="1164"/>
      <c r="AG43" s="1164"/>
      <c r="AH43" s="1164"/>
      <c r="AI43" s="1164"/>
      <c r="AJ43" s="1164"/>
      <c r="AK43" s="1164"/>
      <c r="AL43" s="1164"/>
      <c r="AM43" s="1164"/>
      <c r="AN43" s="1164"/>
      <c r="AO43" s="1164"/>
      <c r="AP43" s="1164"/>
      <c r="AQ43" s="1164"/>
      <c r="AR43" s="1164"/>
      <c r="AS43" s="1164"/>
      <c r="AT43" s="1164"/>
      <c r="AU43" s="1164"/>
      <c r="AV43" s="1164"/>
      <c r="AW43" s="1164"/>
      <c r="AX43" s="1164"/>
      <c r="AY43" s="1164"/>
      <c r="AZ43" s="1164"/>
      <c r="BA43" s="1164"/>
      <c r="BB43" s="1164"/>
      <c r="BC43" s="1164"/>
      <c r="BD43" s="1164"/>
      <c r="BE43" s="1164"/>
      <c r="BF43" s="1164"/>
      <c r="BG43" s="1164"/>
      <c r="BH43" s="1164"/>
      <c r="BI43" s="1164"/>
      <c r="BJ43" s="1164"/>
      <c r="BK43" s="1164"/>
      <c r="BL43" s="1164"/>
      <c r="BM43" s="1164"/>
      <c r="BN43" s="1164"/>
      <c r="BO43" s="1164"/>
      <c r="BP43" s="1164"/>
      <c r="BQ43" s="1164"/>
      <c r="BR43" s="1164"/>
      <c r="BS43" s="1164"/>
      <c r="BT43" s="1164"/>
      <c r="BU43" s="1164"/>
      <c r="BV43" s="1164"/>
      <c r="BW43" s="1164"/>
    </row>
    <row r="44" spans="1:75" s="170" customFormat="1" ht="102">
      <c r="A44" s="1008">
        <v>37</v>
      </c>
      <c r="B44" s="1137" t="s">
        <v>766</v>
      </c>
      <c r="C44" s="1138" t="s">
        <v>41</v>
      </c>
      <c r="D44" s="923" t="s">
        <v>740</v>
      </c>
      <c r="E44" s="924" t="s">
        <v>23</v>
      </c>
      <c r="F44" s="923">
        <v>413</v>
      </c>
      <c r="G44" s="1132">
        <v>0.997</v>
      </c>
      <c r="H44" s="937">
        <f t="shared" ref="H44:H67" si="3">J44/I44</f>
        <v>1</v>
      </c>
      <c r="I44" s="926">
        <v>1799320</v>
      </c>
      <c r="J44" s="926">
        <v>1799320</v>
      </c>
      <c r="K44" s="926">
        <v>0</v>
      </c>
      <c r="L44" s="994">
        <f t="shared" si="2"/>
        <v>0</v>
      </c>
      <c r="M44" s="923" t="s">
        <v>767</v>
      </c>
      <c r="N44" s="1185" t="s">
        <v>817</v>
      </c>
      <c r="O44" s="246"/>
      <c r="P44" s="1164"/>
      <c r="Q44" s="1164"/>
      <c r="R44" s="1164"/>
      <c r="S44" s="1164"/>
      <c r="T44" s="1164"/>
      <c r="U44" s="1164"/>
      <c r="V44" s="1164"/>
      <c r="W44" s="1164"/>
      <c r="X44" s="1164"/>
      <c r="Y44" s="1164"/>
      <c r="Z44" s="1164"/>
      <c r="AA44" s="1164"/>
      <c r="AB44" s="1164"/>
      <c r="AC44" s="1164"/>
      <c r="AD44" s="1164"/>
      <c r="AE44" s="1164"/>
      <c r="AF44" s="1164"/>
      <c r="AG44" s="1164"/>
      <c r="AH44" s="1164"/>
      <c r="AI44" s="1164"/>
      <c r="AJ44" s="1164"/>
      <c r="AK44" s="1164"/>
      <c r="AL44" s="1164"/>
      <c r="AM44" s="1164"/>
      <c r="AN44" s="1164"/>
      <c r="AO44" s="1164"/>
      <c r="AP44" s="1164"/>
      <c r="AQ44" s="1164"/>
      <c r="AR44" s="1164"/>
      <c r="AS44" s="1164"/>
      <c r="AT44" s="1164"/>
      <c r="AU44" s="1164"/>
      <c r="AV44" s="1164"/>
      <c r="AW44" s="1164"/>
      <c r="AX44" s="1164"/>
      <c r="AY44" s="1164"/>
      <c r="AZ44" s="1164"/>
      <c r="BA44" s="1164"/>
      <c r="BB44" s="1164"/>
      <c r="BC44" s="1164"/>
      <c r="BD44" s="1164"/>
      <c r="BE44" s="1164"/>
      <c r="BF44" s="1164"/>
      <c r="BG44" s="1164"/>
      <c r="BH44" s="1164"/>
      <c r="BI44" s="1164"/>
      <c r="BJ44" s="1164"/>
      <c r="BK44" s="1164"/>
      <c r="BL44" s="1164"/>
      <c r="BM44" s="1164"/>
      <c r="BN44" s="1164"/>
      <c r="BO44" s="1164"/>
      <c r="BP44" s="1164"/>
      <c r="BQ44" s="1164"/>
      <c r="BR44" s="1164"/>
      <c r="BS44" s="1164"/>
      <c r="BT44" s="1164"/>
      <c r="BU44" s="1164"/>
      <c r="BV44" s="1164"/>
      <c r="BW44" s="1164"/>
    </row>
    <row r="45" spans="1:75" s="170" customFormat="1" ht="38.25">
      <c r="A45" s="924">
        <v>38</v>
      </c>
      <c r="B45" s="1143" t="s">
        <v>613</v>
      </c>
      <c r="C45" s="1138" t="s">
        <v>41</v>
      </c>
      <c r="D45" s="923" t="s">
        <v>740</v>
      </c>
      <c r="E45" s="924" t="s">
        <v>23</v>
      </c>
      <c r="F45" s="924">
        <v>818</v>
      </c>
      <c r="G45" s="1145">
        <v>1</v>
      </c>
      <c r="H45" s="937">
        <f t="shared" si="3"/>
        <v>0.80618677690756313</v>
      </c>
      <c r="I45" s="926">
        <v>378323</v>
      </c>
      <c r="J45" s="926">
        <v>304999</v>
      </c>
      <c r="K45" s="926">
        <f>0</f>
        <v>0</v>
      </c>
      <c r="L45" s="994">
        <f t="shared" si="2"/>
        <v>73324</v>
      </c>
      <c r="M45" s="924" t="s">
        <v>614</v>
      </c>
      <c r="N45" s="1185" t="s">
        <v>612</v>
      </c>
      <c r="O45" s="246"/>
      <c r="P45" s="1164"/>
      <c r="Q45" s="1164"/>
      <c r="R45" s="1164"/>
      <c r="S45" s="1164"/>
      <c r="T45" s="1164"/>
      <c r="U45" s="1164"/>
      <c r="V45" s="1164"/>
      <c r="W45" s="1164"/>
      <c r="X45" s="1164"/>
      <c r="Y45" s="1164"/>
      <c r="Z45" s="1164"/>
      <c r="AA45" s="1164"/>
      <c r="AB45" s="1164"/>
      <c r="AC45" s="1164"/>
      <c r="AD45" s="1164"/>
      <c r="AE45" s="1164"/>
      <c r="AF45" s="1164"/>
      <c r="AG45" s="1164"/>
      <c r="AH45" s="1164"/>
      <c r="AI45" s="1164"/>
      <c r="AJ45" s="1164"/>
      <c r="AK45" s="1164"/>
      <c r="AL45" s="1164"/>
      <c r="AM45" s="1164"/>
      <c r="AN45" s="1164"/>
      <c r="AO45" s="1164"/>
      <c r="AP45" s="1164"/>
      <c r="AQ45" s="1164"/>
      <c r="AR45" s="1164"/>
      <c r="AS45" s="1164"/>
      <c r="AT45" s="1164"/>
      <c r="AU45" s="1164"/>
      <c r="AV45" s="1164"/>
      <c r="AW45" s="1164"/>
      <c r="AX45" s="1164"/>
      <c r="AY45" s="1164"/>
      <c r="AZ45" s="1164"/>
      <c r="BA45" s="1164"/>
      <c r="BB45" s="1164"/>
      <c r="BC45" s="1164"/>
      <c r="BD45" s="1164"/>
      <c r="BE45" s="1164"/>
      <c r="BF45" s="1164"/>
      <c r="BG45" s="1164"/>
      <c r="BH45" s="1164"/>
      <c r="BI45" s="1164"/>
      <c r="BJ45" s="1164"/>
      <c r="BK45" s="1164"/>
      <c r="BL45" s="1164"/>
      <c r="BM45" s="1164"/>
      <c r="BN45" s="1164"/>
      <c r="BO45" s="1164"/>
      <c r="BP45" s="1164"/>
      <c r="BQ45" s="1164"/>
      <c r="BR45" s="1164"/>
      <c r="BS45" s="1164"/>
      <c r="BT45" s="1164"/>
      <c r="BU45" s="1164"/>
      <c r="BV45" s="1164"/>
      <c r="BW45" s="1164"/>
    </row>
    <row r="46" spans="1:75" s="170" customFormat="1" ht="63.75">
      <c r="A46" s="1008">
        <v>39</v>
      </c>
      <c r="B46" s="1143" t="s">
        <v>692</v>
      </c>
      <c r="C46" s="1138" t="s">
        <v>41</v>
      </c>
      <c r="D46" s="923" t="s">
        <v>740</v>
      </c>
      <c r="E46" s="924" t="s">
        <v>23</v>
      </c>
      <c r="F46" s="924">
        <v>364</v>
      </c>
      <c r="G46" s="1142">
        <v>1</v>
      </c>
      <c r="H46" s="937">
        <f t="shared" si="3"/>
        <v>0.8937827396952005</v>
      </c>
      <c r="I46" s="926">
        <v>399935</v>
      </c>
      <c r="J46" s="926">
        <v>357455</v>
      </c>
      <c r="K46" s="926">
        <v>383</v>
      </c>
      <c r="L46" s="994">
        <f t="shared" si="2"/>
        <v>42097</v>
      </c>
      <c r="M46" s="923" t="s">
        <v>768</v>
      </c>
      <c r="N46" s="1186" t="s">
        <v>769</v>
      </c>
      <c r="O46" s="246"/>
      <c r="P46" s="1164"/>
      <c r="Q46" s="1164"/>
      <c r="R46" s="1164"/>
      <c r="S46" s="1164"/>
      <c r="T46" s="1164"/>
      <c r="U46" s="1164"/>
      <c r="V46" s="1164"/>
      <c r="W46" s="1164"/>
      <c r="X46" s="1164"/>
      <c r="Y46" s="1164"/>
      <c r="Z46" s="1164"/>
      <c r="AA46" s="1164"/>
      <c r="AB46" s="1164"/>
      <c r="AC46" s="1164"/>
      <c r="AD46" s="1164"/>
      <c r="AE46" s="1164"/>
      <c r="AF46" s="1164"/>
      <c r="AG46" s="1164"/>
      <c r="AH46" s="1164"/>
      <c r="AI46" s="1164"/>
      <c r="AJ46" s="1164"/>
      <c r="AK46" s="1164"/>
      <c r="AL46" s="1164"/>
      <c r="AM46" s="1164"/>
      <c r="AN46" s="1164"/>
      <c r="AO46" s="1164"/>
      <c r="AP46" s="1164"/>
      <c r="AQ46" s="1164"/>
      <c r="AR46" s="1164"/>
      <c r="AS46" s="1164"/>
      <c r="AT46" s="1164"/>
      <c r="AU46" s="1164"/>
      <c r="AV46" s="1164"/>
      <c r="AW46" s="1164"/>
      <c r="AX46" s="1164"/>
      <c r="AY46" s="1164"/>
      <c r="AZ46" s="1164"/>
      <c r="BA46" s="1164"/>
      <c r="BB46" s="1164"/>
      <c r="BC46" s="1164"/>
      <c r="BD46" s="1164"/>
      <c r="BE46" s="1164"/>
      <c r="BF46" s="1164"/>
      <c r="BG46" s="1164"/>
      <c r="BH46" s="1164"/>
      <c r="BI46" s="1164"/>
      <c r="BJ46" s="1164"/>
      <c r="BK46" s="1164"/>
      <c r="BL46" s="1164"/>
      <c r="BM46" s="1164"/>
      <c r="BN46" s="1164"/>
      <c r="BO46" s="1164"/>
      <c r="BP46" s="1164"/>
      <c r="BQ46" s="1164"/>
      <c r="BR46" s="1164"/>
      <c r="BS46" s="1164"/>
      <c r="BT46" s="1164"/>
      <c r="BU46" s="1164"/>
      <c r="BV46" s="1164"/>
      <c r="BW46" s="1164"/>
    </row>
    <row r="47" spans="1:75" s="170" customFormat="1" ht="102">
      <c r="A47" s="924">
        <v>40</v>
      </c>
      <c r="B47" s="1143" t="s">
        <v>708</v>
      </c>
      <c r="C47" s="1138" t="s">
        <v>41</v>
      </c>
      <c r="D47" s="923" t="s">
        <v>740</v>
      </c>
      <c r="E47" s="924" t="s">
        <v>23</v>
      </c>
      <c r="F47" s="924">
        <v>352</v>
      </c>
      <c r="G47" s="1142">
        <v>1</v>
      </c>
      <c r="H47" s="937">
        <f t="shared" si="3"/>
        <v>0.93634257113726949</v>
      </c>
      <c r="I47" s="926">
        <v>161835</v>
      </c>
      <c r="J47" s="926">
        <v>151533</v>
      </c>
      <c r="K47" s="926">
        <f>0</f>
        <v>0</v>
      </c>
      <c r="L47" s="994">
        <f t="shared" si="2"/>
        <v>10302</v>
      </c>
      <c r="M47" s="923" t="s">
        <v>770</v>
      </c>
      <c r="N47" s="1186" t="s">
        <v>771</v>
      </c>
      <c r="O47" s="246"/>
      <c r="P47" s="1164"/>
      <c r="Q47" s="1164"/>
      <c r="R47" s="1164"/>
      <c r="S47" s="1164"/>
      <c r="T47" s="1164"/>
      <c r="U47" s="1164"/>
      <c r="V47" s="1164"/>
      <c r="W47" s="1164"/>
      <c r="X47" s="1164"/>
      <c r="Y47" s="1164"/>
      <c r="Z47" s="1164"/>
      <c r="AA47" s="1164"/>
      <c r="AB47" s="1164"/>
      <c r="AC47" s="1164"/>
      <c r="AD47" s="1164"/>
      <c r="AE47" s="1164"/>
      <c r="AF47" s="1164"/>
      <c r="AG47" s="1164"/>
      <c r="AH47" s="1164"/>
      <c r="AI47" s="1164"/>
      <c r="AJ47" s="1164"/>
      <c r="AK47" s="1164"/>
      <c r="AL47" s="1164"/>
      <c r="AM47" s="1164"/>
      <c r="AN47" s="1164"/>
      <c r="AO47" s="1164"/>
      <c r="AP47" s="1164"/>
      <c r="AQ47" s="1164"/>
      <c r="AR47" s="1164"/>
      <c r="AS47" s="1164"/>
      <c r="AT47" s="1164"/>
      <c r="AU47" s="1164"/>
      <c r="AV47" s="1164"/>
      <c r="AW47" s="1164"/>
      <c r="AX47" s="1164"/>
      <c r="AY47" s="1164"/>
      <c r="AZ47" s="1164"/>
      <c r="BA47" s="1164"/>
      <c r="BB47" s="1164"/>
      <c r="BC47" s="1164"/>
      <c r="BD47" s="1164"/>
      <c r="BE47" s="1164"/>
      <c r="BF47" s="1164"/>
      <c r="BG47" s="1164"/>
      <c r="BH47" s="1164"/>
      <c r="BI47" s="1164"/>
      <c r="BJ47" s="1164"/>
      <c r="BK47" s="1164"/>
      <c r="BL47" s="1164"/>
      <c r="BM47" s="1164"/>
      <c r="BN47" s="1164"/>
      <c r="BO47" s="1164"/>
      <c r="BP47" s="1164"/>
      <c r="BQ47" s="1164"/>
      <c r="BR47" s="1164"/>
      <c r="BS47" s="1164"/>
      <c r="BT47" s="1164"/>
      <c r="BU47" s="1164"/>
      <c r="BV47" s="1164"/>
      <c r="BW47" s="1164"/>
    </row>
    <row r="48" spans="1:75" s="170" customFormat="1" ht="140.25">
      <c r="A48" s="1008">
        <v>41</v>
      </c>
      <c r="B48" s="1143" t="s">
        <v>772</v>
      </c>
      <c r="C48" s="1138" t="s">
        <v>41</v>
      </c>
      <c r="D48" s="923" t="s">
        <v>740</v>
      </c>
      <c r="E48" s="924" t="s">
        <v>23</v>
      </c>
      <c r="F48" s="924">
        <v>354</v>
      </c>
      <c r="G48" s="1142">
        <v>1</v>
      </c>
      <c r="H48" s="937">
        <f t="shared" si="3"/>
        <v>0.96419646554972083</v>
      </c>
      <c r="I48" s="926">
        <v>1069643</v>
      </c>
      <c r="J48" s="926">
        <v>1031346</v>
      </c>
      <c r="K48" s="926">
        <v>262</v>
      </c>
      <c r="L48" s="994">
        <f t="shared" si="2"/>
        <v>38035</v>
      </c>
      <c r="M48" s="923" t="s">
        <v>773</v>
      </c>
      <c r="N48" s="1186" t="s">
        <v>612</v>
      </c>
      <c r="O48" s="246"/>
      <c r="P48" s="1164"/>
      <c r="Q48" s="1164"/>
      <c r="R48" s="1164"/>
      <c r="S48" s="1164"/>
      <c r="T48" s="1164"/>
      <c r="U48" s="1164"/>
      <c r="V48" s="1164"/>
      <c r="W48" s="1164"/>
      <c r="X48" s="1164"/>
      <c r="Y48" s="1164"/>
      <c r="Z48" s="1164"/>
      <c r="AA48" s="1164"/>
      <c r="AB48" s="1164"/>
      <c r="AC48" s="1164"/>
      <c r="AD48" s="1164"/>
      <c r="AE48" s="1164"/>
      <c r="AF48" s="1164"/>
      <c r="AG48" s="1164"/>
      <c r="AH48" s="1164"/>
      <c r="AI48" s="1164"/>
      <c r="AJ48" s="1164"/>
      <c r="AK48" s="1164"/>
      <c r="AL48" s="1164"/>
      <c r="AM48" s="1164"/>
      <c r="AN48" s="1164"/>
      <c r="AO48" s="1164"/>
      <c r="AP48" s="1164"/>
      <c r="AQ48" s="1164"/>
      <c r="AR48" s="1164"/>
      <c r="AS48" s="1164"/>
      <c r="AT48" s="1164"/>
      <c r="AU48" s="1164"/>
      <c r="AV48" s="1164"/>
      <c r="AW48" s="1164"/>
      <c r="AX48" s="1164"/>
      <c r="AY48" s="1164"/>
      <c r="AZ48" s="1164"/>
      <c r="BA48" s="1164"/>
      <c r="BB48" s="1164"/>
      <c r="BC48" s="1164"/>
      <c r="BD48" s="1164"/>
      <c r="BE48" s="1164"/>
      <c r="BF48" s="1164"/>
      <c r="BG48" s="1164"/>
      <c r="BH48" s="1164"/>
      <c r="BI48" s="1164"/>
      <c r="BJ48" s="1164"/>
      <c r="BK48" s="1164"/>
      <c r="BL48" s="1164"/>
      <c r="BM48" s="1164"/>
      <c r="BN48" s="1164"/>
      <c r="BO48" s="1164"/>
      <c r="BP48" s="1164"/>
      <c r="BQ48" s="1164"/>
      <c r="BR48" s="1164"/>
      <c r="BS48" s="1164"/>
      <c r="BT48" s="1164"/>
      <c r="BU48" s="1164"/>
      <c r="BV48" s="1164"/>
      <c r="BW48" s="1164"/>
    </row>
    <row r="49" spans="1:75" s="170" customFormat="1" ht="76.5">
      <c r="A49" s="924">
        <v>42</v>
      </c>
      <c r="B49" s="1143" t="s">
        <v>694</v>
      </c>
      <c r="C49" s="1138" t="s">
        <v>41</v>
      </c>
      <c r="D49" s="923" t="s">
        <v>448</v>
      </c>
      <c r="E49" s="924" t="s">
        <v>23</v>
      </c>
      <c r="F49" s="924">
        <v>362</v>
      </c>
      <c r="G49" s="1142">
        <v>1</v>
      </c>
      <c r="H49" s="937">
        <f t="shared" si="3"/>
        <v>0.90522922391088712</v>
      </c>
      <c r="I49" s="926">
        <v>701672</v>
      </c>
      <c r="J49" s="926">
        <v>635174</v>
      </c>
      <c r="K49" s="926">
        <v>15</v>
      </c>
      <c r="L49" s="994">
        <f t="shared" si="2"/>
        <v>66483</v>
      </c>
      <c r="M49" s="923" t="s">
        <v>774</v>
      </c>
      <c r="N49" s="1186" t="s">
        <v>612</v>
      </c>
      <c r="O49" s="246"/>
      <c r="P49" s="1164"/>
      <c r="Q49" s="1164"/>
      <c r="R49" s="1164"/>
      <c r="S49" s="1164"/>
      <c r="T49" s="1164"/>
      <c r="U49" s="1164"/>
      <c r="V49" s="1164"/>
      <c r="W49" s="1164"/>
      <c r="X49" s="1164"/>
      <c r="Y49" s="1164"/>
      <c r="Z49" s="1164"/>
      <c r="AA49" s="1164"/>
      <c r="AB49" s="1164"/>
      <c r="AC49" s="1164"/>
      <c r="AD49" s="1164"/>
      <c r="AE49" s="1164"/>
      <c r="AF49" s="1164"/>
      <c r="AG49" s="1164"/>
      <c r="AH49" s="1164"/>
      <c r="AI49" s="1164"/>
      <c r="AJ49" s="1164"/>
      <c r="AK49" s="1164"/>
      <c r="AL49" s="1164"/>
      <c r="AM49" s="1164"/>
      <c r="AN49" s="1164"/>
      <c r="AO49" s="1164"/>
      <c r="AP49" s="1164"/>
      <c r="AQ49" s="1164"/>
      <c r="AR49" s="1164"/>
      <c r="AS49" s="1164"/>
      <c r="AT49" s="1164"/>
      <c r="AU49" s="1164"/>
      <c r="AV49" s="1164"/>
      <c r="AW49" s="1164"/>
      <c r="AX49" s="1164"/>
      <c r="AY49" s="1164"/>
      <c r="AZ49" s="1164"/>
      <c r="BA49" s="1164"/>
      <c r="BB49" s="1164"/>
      <c r="BC49" s="1164"/>
      <c r="BD49" s="1164"/>
      <c r="BE49" s="1164"/>
      <c r="BF49" s="1164"/>
      <c r="BG49" s="1164"/>
      <c r="BH49" s="1164"/>
      <c r="BI49" s="1164"/>
      <c r="BJ49" s="1164"/>
      <c r="BK49" s="1164"/>
      <c r="BL49" s="1164"/>
      <c r="BM49" s="1164"/>
      <c r="BN49" s="1164"/>
      <c r="BO49" s="1164"/>
      <c r="BP49" s="1164"/>
      <c r="BQ49" s="1164"/>
      <c r="BR49" s="1164"/>
      <c r="BS49" s="1164"/>
      <c r="BT49" s="1164"/>
      <c r="BU49" s="1164"/>
      <c r="BV49" s="1164"/>
      <c r="BW49" s="1164"/>
    </row>
    <row r="50" spans="1:75" s="170" customFormat="1" ht="153">
      <c r="A50" s="1008">
        <v>43</v>
      </c>
      <c r="B50" s="1143" t="s">
        <v>696</v>
      </c>
      <c r="C50" s="1138" t="s">
        <v>41</v>
      </c>
      <c r="D50" s="923" t="s">
        <v>740</v>
      </c>
      <c r="E50" s="924" t="s">
        <v>23</v>
      </c>
      <c r="F50" s="924">
        <v>365</v>
      </c>
      <c r="G50" s="1142">
        <v>1</v>
      </c>
      <c r="H50" s="937">
        <f t="shared" si="3"/>
        <v>0.80647106899822119</v>
      </c>
      <c r="I50" s="926">
        <v>228803</v>
      </c>
      <c r="J50" s="926">
        <f>184468+55</f>
        <v>184523</v>
      </c>
      <c r="K50" s="926">
        <v>0</v>
      </c>
      <c r="L50" s="994">
        <f t="shared" si="2"/>
        <v>44280</v>
      </c>
      <c r="M50" s="923" t="s">
        <v>775</v>
      </c>
      <c r="N50" s="1186" t="s">
        <v>612</v>
      </c>
      <c r="O50" s="246"/>
      <c r="P50" s="1164"/>
      <c r="Q50" s="1164"/>
      <c r="R50" s="1164"/>
      <c r="S50" s="1164"/>
      <c r="T50" s="1164"/>
      <c r="U50" s="1164"/>
      <c r="V50" s="1164"/>
      <c r="W50" s="1164"/>
      <c r="X50" s="1164"/>
      <c r="Y50" s="1164"/>
      <c r="Z50" s="1164"/>
      <c r="AA50" s="1164"/>
      <c r="AB50" s="1164"/>
      <c r="AC50" s="1164"/>
      <c r="AD50" s="1164"/>
      <c r="AE50" s="1164"/>
      <c r="AF50" s="1164"/>
      <c r="AG50" s="1164"/>
      <c r="AH50" s="1164"/>
      <c r="AI50" s="1164"/>
      <c r="AJ50" s="1164"/>
      <c r="AK50" s="1164"/>
      <c r="AL50" s="1164"/>
      <c r="AM50" s="1164"/>
      <c r="AN50" s="1164"/>
      <c r="AO50" s="1164"/>
      <c r="AP50" s="1164"/>
      <c r="AQ50" s="1164"/>
      <c r="AR50" s="1164"/>
      <c r="AS50" s="1164"/>
      <c r="AT50" s="1164"/>
      <c r="AU50" s="1164"/>
      <c r="AV50" s="1164"/>
      <c r="AW50" s="1164"/>
      <c r="AX50" s="1164"/>
      <c r="AY50" s="1164"/>
      <c r="AZ50" s="1164"/>
      <c r="BA50" s="1164"/>
      <c r="BB50" s="1164"/>
      <c r="BC50" s="1164"/>
      <c r="BD50" s="1164"/>
      <c r="BE50" s="1164"/>
      <c r="BF50" s="1164"/>
      <c r="BG50" s="1164"/>
      <c r="BH50" s="1164"/>
      <c r="BI50" s="1164"/>
      <c r="BJ50" s="1164"/>
      <c r="BK50" s="1164"/>
      <c r="BL50" s="1164"/>
      <c r="BM50" s="1164"/>
      <c r="BN50" s="1164"/>
      <c r="BO50" s="1164"/>
      <c r="BP50" s="1164"/>
      <c r="BQ50" s="1164"/>
      <c r="BR50" s="1164"/>
      <c r="BS50" s="1164"/>
      <c r="BT50" s="1164"/>
      <c r="BU50" s="1164"/>
      <c r="BV50" s="1164"/>
      <c r="BW50" s="1164"/>
    </row>
    <row r="51" spans="1:75" s="170" customFormat="1" ht="38.25">
      <c r="A51" s="924">
        <v>44</v>
      </c>
      <c r="B51" s="1146" t="s">
        <v>687</v>
      </c>
      <c r="C51" s="1138" t="s">
        <v>41</v>
      </c>
      <c r="D51" s="923" t="s">
        <v>740</v>
      </c>
      <c r="E51" s="924" t="s">
        <v>23</v>
      </c>
      <c r="F51" s="924">
        <v>367</v>
      </c>
      <c r="G51" s="1132">
        <v>1</v>
      </c>
      <c r="H51" s="937">
        <f t="shared" si="3"/>
        <v>0.56390573563731516</v>
      </c>
      <c r="I51" s="926">
        <v>275523</v>
      </c>
      <c r="J51" s="926">
        <f>154855+514</f>
        <v>155369</v>
      </c>
      <c r="K51" s="926">
        <v>0</v>
      </c>
      <c r="L51" s="994">
        <f t="shared" si="2"/>
        <v>120154</v>
      </c>
      <c r="M51" s="923" t="s">
        <v>635</v>
      </c>
      <c r="N51" s="1185" t="s">
        <v>612</v>
      </c>
      <c r="O51" s="246"/>
      <c r="P51" s="1164"/>
      <c r="Q51" s="1164"/>
      <c r="R51" s="1164"/>
      <c r="S51" s="1164"/>
      <c r="T51" s="1164"/>
      <c r="U51" s="1164"/>
      <c r="V51" s="1164"/>
      <c r="W51" s="1164"/>
      <c r="X51" s="1164"/>
      <c r="Y51" s="1164"/>
      <c r="Z51" s="1164"/>
      <c r="AA51" s="1164"/>
      <c r="AB51" s="1164"/>
      <c r="AC51" s="1164"/>
      <c r="AD51" s="1164"/>
      <c r="AE51" s="1164"/>
      <c r="AF51" s="1164"/>
      <c r="AG51" s="1164"/>
      <c r="AH51" s="1164"/>
      <c r="AI51" s="1164"/>
      <c r="AJ51" s="1164"/>
      <c r="AK51" s="1164"/>
      <c r="AL51" s="1164"/>
      <c r="AM51" s="1164"/>
      <c r="AN51" s="1164"/>
      <c r="AO51" s="1164"/>
      <c r="AP51" s="1164"/>
      <c r="AQ51" s="1164"/>
      <c r="AR51" s="1164"/>
      <c r="AS51" s="1164"/>
      <c r="AT51" s="1164"/>
      <c r="AU51" s="1164"/>
      <c r="AV51" s="1164"/>
      <c r="AW51" s="1164"/>
      <c r="AX51" s="1164"/>
      <c r="AY51" s="1164"/>
      <c r="AZ51" s="1164"/>
      <c r="BA51" s="1164"/>
      <c r="BB51" s="1164"/>
      <c r="BC51" s="1164"/>
      <c r="BD51" s="1164"/>
      <c r="BE51" s="1164"/>
      <c r="BF51" s="1164"/>
      <c r="BG51" s="1164"/>
      <c r="BH51" s="1164"/>
      <c r="BI51" s="1164"/>
      <c r="BJ51" s="1164"/>
      <c r="BK51" s="1164"/>
      <c r="BL51" s="1164"/>
      <c r="BM51" s="1164"/>
      <c r="BN51" s="1164"/>
      <c r="BO51" s="1164"/>
      <c r="BP51" s="1164"/>
      <c r="BQ51" s="1164"/>
      <c r="BR51" s="1164"/>
      <c r="BS51" s="1164"/>
      <c r="BT51" s="1164"/>
      <c r="BU51" s="1164"/>
      <c r="BV51" s="1164"/>
      <c r="BW51" s="1164"/>
    </row>
    <row r="52" spans="1:75" s="857" customFormat="1" ht="25.5">
      <c r="A52" s="1008">
        <v>45</v>
      </c>
      <c r="B52" s="1146" t="s">
        <v>776</v>
      </c>
      <c r="C52" s="1138" t="s">
        <v>41</v>
      </c>
      <c r="D52" s="923" t="s">
        <v>740</v>
      </c>
      <c r="E52" s="924" t="s">
        <v>23</v>
      </c>
      <c r="F52" s="924">
        <v>814</v>
      </c>
      <c r="G52" s="1142">
        <v>1</v>
      </c>
      <c r="H52" s="937">
        <f t="shared" si="3"/>
        <v>0.79802578416719039</v>
      </c>
      <c r="I52" s="926">
        <v>189341</v>
      </c>
      <c r="J52" s="926">
        <v>151099</v>
      </c>
      <c r="K52" s="926">
        <v>0</v>
      </c>
      <c r="L52" s="994">
        <f t="shared" si="2"/>
        <v>38242</v>
      </c>
      <c r="M52" s="923" t="s">
        <v>777</v>
      </c>
      <c r="N52" s="1185" t="s">
        <v>612</v>
      </c>
      <c r="O52" s="455"/>
      <c r="P52" s="1165"/>
      <c r="Q52" s="1165"/>
      <c r="R52" s="1165"/>
      <c r="S52" s="1165"/>
      <c r="T52" s="1165"/>
      <c r="U52" s="1165"/>
      <c r="V52" s="1165"/>
      <c r="W52" s="1165"/>
      <c r="X52" s="1165"/>
      <c r="Y52" s="1165"/>
      <c r="Z52" s="1165"/>
      <c r="AA52" s="1165"/>
      <c r="AB52" s="1165"/>
      <c r="AC52" s="1165"/>
      <c r="AD52" s="1165"/>
      <c r="AE52" s="1165"/>
      <c r="AF52" s="1165"/>
      <c r="AG52" s="1165"/>
      <c r="AH52" s="1165"/>
      <c r="AI52" s="1165"/>
      <c r="AJ52" s="1165"/>
      <c r="AK52" s="1165"/>
      <c r="AL52" s="1165"/>
      <c r="AM52" s="1165"/>
      <c r="AN52" s="1165"/>
      <c r="AO52" s="1165"/>
      <c r="AP52" s="1165"/>
      <c r="AQ52" s="1165"/>
      <c r="AR52" s="1165"/>
      <c r="AS52" s="1165"/>
      <c r="AT52" s="1165"/>
      <c r="AU52" s="1165"/>
      <c r="AV52" s="1165"/>
      <c r="AW52" s="1165"/>
      <c r="AX52" s="1165"/>
      <c r="AY52" s="1165"/>
      <c r="AZ52" s="1165"/>
      <c r="BA52" s="1165"/>
      <c r="BB52" s="1165"/>
      <c r="BC52" s="1165"/>
      <c r="BD52" s="1165"/>
      <c r="BE52" s="1165"/>
      <c r="BF52" s="1165"/>
      <c r="BG52" s="1165"/>
      <c r="BH52" s="1165"/>
      <c r="BI52" s="1165"/>
      <c r="BJ52" s="1165"/>
      <c r="BK52" s="1165"/>
      <c r="BL52" s="1165"/>
      <c r="BM52" s="1165"/>
      <c r="BN52" s="1165"/>
      <c r="BO52" s="1165"/>
      <c r="BP52" s="1165"/>
      <c r="BQ52" s="1165"/>
      <c r="BR52" s="1165"/>
      <c r="BS52" s="1165"/>
      <c r="BT52" s="1165"/>
      <c r="BU52" s="1165"/>
      <c r="BV52" s="1165"/>
      <c r="BW52" s="1165"/>
    </row>
    <row r="53" spans="1:75" s="170" customFormat="1" ht="51">
      <c r="A53" s="924">
        <v>46</v>
      </c>
      <c r="B53" s="1147" t="s">
        <v>778</v>
      </c>
      <c r="C53" s="1138" t="s">
        <v>41</v>
      </c>
      <c r="D53" s="923" t="s">
        <v>740</v>
      </c>
      <c r="E53" s="924" t="s">
        <v>23</v>
      </c>
      <c r="F53" s="991">
        <v>1256</v>
      </c>
      <c r="G53" s="1142">
        <v>1</v>
      </c>
      <c r="H53" s="937">
        <f t="shared" si="3"/>
        <v>0.92640941475442073</v>
      </c>
      <c r="I53" s="926">
        <v>198327</v>
      </c>
      <c r="J53" s="926">
        <v>183732</v>
      </c>
      <c r="K53" s="926">
        <v>3</v>
      </c>
      <c r="L53" s="994">
        <f t="shared" si="2"/>
        <v>14592</v>
      </c>
      <c r="M53" s="1148" t="s">
        <v>609</v>
      </c>
      <c r="N53" s="1187"/>
      <c r="O53" s="246"/>
      <c r="P53" s="1164"/>
      <c r="Q53" s="1164"/>
      <c r="R53" s="1164"/>
      <c r="S53" s="1164"/>
      <c r="T53" s="1164"/>
      <c r="U53" s="1164"/>
      <c r="V53" s="1164"/>
      <c r="W53" s="1164"/>
      <c r="X53" s="1164"/>
      <c r="Y53" s="1164"/>
      <c r="Z53" s="1164"/>
      <c r="AA53" s="1164"/>
      <c r="AB53" s="1164"/>
      <c r="AC53" s="1164"/>
      <c r="AD53" s="1164"/>
      <c r="AE53" s="1164"/>
      <c r="AF53" s="1164"/>
      <c r="AG53" s="1164"/>
      <c r="AH53" s="1164"/>
      <c r="AI53" s="1164"/>
      <c r="AJ53" s="1164"/>
      <c r="AK53" s="1164"/>
      <c r="AL53" s="1164"/>
      <c r="AM53" s="1164"/>
      <c r="AN53" s="1164"/>
      <c r="AO53" s="1164"/>
      <c r="AP53" s="1164"/>
      <c r="AQ53" s="1164"/>
      <c r="AR53" s="1164"/>
      <c r="AS53" s="1164"/>
      <c r="AT53" s="1164"/>
      <c r="AU53" s="1164"/>
      <c r="AV53" s="1164"/>
      <c r="AW53" s="1164"/>
      <c r="AX53" s="1164"/>
      <c r="AY53" s="1164"/>
      <c r="AZ53" s="1164"/>
      <c r="BA53" s="1164"/>
      <c r="BB53" s="1164"/>
      <c r="BC53" s="1164"/>
      <c r="BD53" s="1164"/>
      <c r="BE53" s="1164"/>
      <c r="BF53" s="1164"/>
      <c r="BG53" s="1164"/>
      <c r="BH53" s="1164"/>
      <c r="BI53" s="1164"/>
      <c r="BJ53" s="1164"/>
      <c r="BK53" s="1164"/>
      <c r="BL53" s="1164"/>
      <c r="BM53" s="1164"/>
      <c r="BN53" s="1164"/>
      <c r="BO53" s="1164"/>
      <c r="BP53" s="1164"/>
      <c r="BQ53" s="1164"/>
      <c r="BR53" s="1164"/>
      <c r="BS53" s="1164"/>
      <c r="BT53" s="1164"/>
      <c r="BU53" s="1164"/>
      <c r="BV53" s="1164"/>
      <c r="BW53" s="1164"/>
    </row>
    <row r="54" spans="1:75" s="170" customFormat="1" ht="25.5">
      <c r="A54" s="1008">
        <v>47</v>
      </c>
      <c r="B54" s="1147" t="s">
        <v>779</v>
      </c>
      <c r="C54" s="1138" t="s">
        <v>41</v>
      </c>
      <c r="D54" s="923" t="s">
        <v>740</v>
      </c>
      <c r="E54" s="924" t="s">
        <v>23</v>
      </c>
      <c r="F54" s="991">
        <v>977</v>
      </c>
      <c r="G54" s="1142">
        <v>1</v>
      </c>
      <c r="H54" s="937">
        <f t="shared" si="3"/>
        <v>0.57678028579530094</v>
      </c>
      <c r="I54" s="926">
        <v>151647</v>
      </c>
      <c r="J54" s="926">
        <v>87467</v>
      </c>
      <c r="K54" s="926">
        <v>0</v>
      </c>
      <c r="L54" s="994">
        <f t="shared" si="2"/>
        <v>64180</v>
      </c>
      <c r="M54" s="1149" t="s">
        <v>780</v>
      </c>
      <c r="N54" s="1185" t="s">
        <v>733</v>
      </c>
      <c r="O54" s="246"/>
      <c r="P54" s="1164"/>
      <c r="Q54" s="1164"/>
      <c r="R54" s="1164"/>
      <c r="S54" s="1164"/>
      <c r="T54" s="1164"/>
      <c r="U54" s="1164"/>
      <c r="V54" s="1164"/>
      <c r="W54" s="1164"/>
      <c r="X54" s="1164"/>
      <c r="Y54" s="1164"/>
      <c r="Z54" s="1164"/>
      <c r="AA54" s="1164"/>
      <c r="AB54" s="1164"/>
      <c r="AC54" s="1164"/>
      <c r="AD54" s="1164"/>
      <c r="AE54" s="1164"/>
      <c r="AF54" s="1164"/>
      <c r="AG54" s="1164"/>
      <c r="AH54" s="1164"/>
      <c r="AI54" s="1164"/>
      <c r="AJ54" s="1164"/>
      <c r="AK54" s="1164"/>
      <c r="AL54" s="1164"/>
      <c r="AM54" s="1164"/>
      <c r="AN54" s="1164"/>
      <c r="AO54" s="1164"/>
      <c r="AP54" s="1164"/>
      <c r="AQ54" s="1164"/>
      <c r="AR54" s="1164"/>
      <c r="AS54" s="1164"/>
      <c r="AT54" s="1164"/>
      <c r="AU54" s="1164"/>
      <c r="AV54" s="1164"/>
      <c r="AW54" s="1164"/>
      <c r="AX54" s="1164"/>
      <c r="AY54" s="1164"/>
      <c r="AZ54" s="1164"/>
      <c r="BA54" s="1164"/>
      <c r="BB54" s="1164"/>
      <c r="BC54" s="1164"/>
      <c r="BD54" s="1164"/>
      <c r="BE54" s="1164"/>
      <c r="BF54" s="1164"/>
      <c r="BG54" s="1164"/>
      <c r="BH54" s="1164"/>
      <c r="BI54" s="1164"/>
      <c r="BJ54" s="1164"/>
      <c r="BK54" s="1164"/>
      <c r="BL54" s="1164"/>
      <c r="BM54" s="1164"/>
      <c r="BN54" s="1164"/>
      <c r="BO54" s="1164"/>
      <c r="BP54" s="1164"/>
      <c r="BQ54" s="1164"/>
      <c r="BR54" s="1164"/>
      <c r="BS54" s="1164"/>
      <c r="BT54" s="1164"/>
      <c r="BU54" s="1164"/>
      <c r="BV54" s="1164"/>
      <c r="BW54" s="1164"/>
    </row>
    <row r="55" spans="1:75" s="170" customFormat="1" ht="25.5">
      <c r="A55" s="924">
        <v>48</v>
      </c>
      <c r="B55" s="1147" t="s">
        <v>688</v>
      </c>
      <c r="C55" s="1138" t="s">
        <v>41</v>
      </c>
      <c r="D55" s="923" t="s">
        <v>740</v>
      </c>
      <c r="E55" s="924" t="s">
        <v>23</v>
      </c>
      <c r="F55" s="991">
        <v>873</v>
      </c>
      <c r="G55" s="1142">
        <v>1</v>
      </c>
      <c r="H55" s="937">
        <f t="shared" si="3"/>
        <v>0.84663297684804328</v>
      </c>
      <c r="I55" s="926">
        <v>102108</v>
      </c>
      <c r="J55" s="926">
        <v>86448</v>
      </c>
      <c r="K55" s="926">
        <v>0</v>
      </c>
      <c r="L55" s="994">
        <f t="shared" si="2"/>
        <v>15660</v>
      </c>
      <c r="M55" s="1149" t="s">
        <v>781</v>
      </c>
      <c r="N55" s="1185" t="s">
        <v>733</v>
      </c>
      <c r="O55" s="246"/>
      <c r="P55" s="1164"/>
      <c r="Q55" s="1164"/>
      <c r="R55" s="1164"/>
      <c r="S55" s="1164"/>
      <c r="T55" s="1164"/>
      <c r="U55" s="1164"/>
      <c r="V55" s="1164"/>
      <c r="W55" s="1164"/>
      <c r="X55" s="1164"/>
      <c r="Y55" s="1164"/>
      <c r="Z55" s="1164"/>
      <c r="AA55" s="1164"/>
      <c r="AB55" s="1164"/>
      <c r="AC55" s="1164"/>
      <c r="AD55" s="1164"/>
      <c r="AE55" s="1164"/>
      <c r="AF55" s="1164"/>
      <c r="AG55" s="1164"/>
      <c r="AH55" s="1164"/>
      <c r="AI55" s="1164"/>
      <c r="AJ55" s="1164"/>
      <c r="AK55" s="1164"/>
      <c r="AL55" s="1164"/>
      <c r="AM55" s="1164"/>
      <c r="AN55" s="1164"/>
      <c r="AO55" s="1164"/>
      <c r="AP55" s="1164"/>
      <c r="AQ55" s="1164"/>
      <c r="AR55" s="1164"/>
      <c r="AS55" s="1164"/>
      <c r="AT55" s="1164"/>
      <c r="AU55" s="1164"/>
      <c r="AV55" s="1164"/>
      <c r="AW55" s="1164"/>
      <c r="AX55" s="1164"/>
      <c r="AY55" s="1164"/>
      <c r="AZ55" s="1164"/>
      <c r="BA55" s="1164"/>
      <c r="BB55" s="1164"/>
      <c r="BC55" s="1164"/>
      <c r="BD55" s="1164"/>
      <c r="BE55" s="1164"/>
      <c r="BF55" s="1164"/>
      <c r="BG55" s="1164"/>
      <c r="BH55" s="1164"/>
      <c r="BI55" s="1164"/>
      <c r="BJ55" s="1164"/>
      <c r="BK55" s="1164"/>
      <c r="BL55" s="1164"/>
      <c r="BM55" s="1164"/>
      <c r="BN55" s="1164"/>
      <c r="BO55" s="1164"/>
      <c r="BP55" s="1164"/>
      <c r="BQ55" s="1164"/>
      <c r="BR55" s="1164"/>
      <c r="BS55" s="1164"/>
      <c r="BT55" s="1164"/>
      <c r="BU55" s="1164"/>
      <c r="BV55" s="1164"/>
      <c r="BW55" s="1164"/>
    </row>
    <row r="56" spans="1:75" s="170" customFormat="1" ht="74.25" customHeight="1">
      <c r="A56" s="1008">
        <v>49</v>
      </c>
      <c r="B56" s="944" t="s">
        <v>782</v>
      </c>
      <c r="C56" s="1138" t="s">
        <v>41</v>
      </c>
      <c r="D56" s="923" t="s">
        <v>740</v>
      </c>
      <c r="E56" s="924" t="s">
        <v>23</v>
      </c>
      <c r="F56" s="924">
        <v>1086</v>
      </c>
      <c r="G56" s="1132">
        <v>1</v>
      </c>
      <c r="H56" s="937">
        <f t="shared" si="3"/>
        <v>0.91386727813016799</v>
      </c>
      <c r="I56" s="926">
        <v>1137629.0900000001</v>
      </c>
      <c r="J56" s="926">
        <v>1039642</v>
      </c>
      <c r="K56" s="926">
        <v>3740</v>
      </c>
      <c r="L56" s="994">
        <f t="shared" si="2"/>
        <v>94247.090000000084</v>
      </c>
      <c r="M56" s="923" t="s">
        <v>783</v>
      </c>
      <c r="N56" s="1186"/>
      <c r="O56" s="246"/>
      <c r="P56" s="1164"/>
      <c r="Q56" s="1164"/>
      <c r="R56" s="1164"/>
      <c r="S56" s="1164"/>
      <c r="T56" s="1164"/>
      <c r="U56" s="1164"/>
      <c r="V56" s="1164"/>
      <c r="W56" s="1164"/>
      <c r="X56" s="1164"/>
      <c r="Y56" s="1164"/>
      <c r="Z56" s="1164"/>
      <c r="AA56" s="1164"/>
      <c r="AB56" s="1164"/>
      <c r="AC56" s="1164"/>
      <c r="AD56" s="1164"/>
      <c r="AE56" s="1164"/>
      <c r="AF56" s="1164"/>
      <c r="AG56" s="1164"/>
      <c r="AH56" s="1164"/>
      <c r="AI56" s="1164"/>
      <c r="AJ56" s="1164"/>
      <c r="AK56" s="1164"/>
      <c r="AL56" s="1164"/>
      <c r="AM56" s="1164"/>
      <c r="AN56" s="1164"/>
      <c r="AO56" s="1164"/>
      <c r="AP56" s="1164"/>
      <c r="AQ56" s="1164"/>
      <c r="AR56" s="1164"/>
      <c r="AS56" s="1164"/>
      <c r="AT56" s="1164"/>
      <c r="AU56" s="1164"/>
      <c r="AV56" s="1164"/>
      <c r="AW56" s="1164"/>
      <c r="AX56" s="1164"/>
      <c r="AY56" s="1164"/>
      <c r="AZ56" s="1164"/>
      <c r="BA56" s="1164"/>
      <c r="BB56" s="1164"/>
      <c r="BC56" s="1164"/>
      <c r="BD56" s="1164"/>
      <c r="BE56" s="1164"/>
      <c r="BF56" s="1164"/>
      <c r="BG56" s="1164"/>
      <c r="BH56" s="1164"/>
      <c r="BI56" s="1164"/>
      <c r="BJ56" s="1164"/>
      <c r="BK56" s="1164"/>
      <c r="BL56" s="1164"/>
      <c r="BM56" s="1164"/>
      <c r="BN56" s="1164"/>
      <c r="BO56" s="1164"/>
      <c r="BP56" s="1164"/>
      <c r="BQ56" s="1164"/>
      <c r="BR56" s="1164"/>
      <c r="BS56" s="1164"/>
      <c r="BT56" s="1164"/>
      <c r="BU56" s="1164"/>
      <c r="BV56" s="1164"/>
      <c r="BW56" s="1164"/>
    </row>
    <row r="57" spans="1:75" s="857" customFormat="1" ht="25.5">
      <c r="A57" s="924">
        <v>50</v>
      </c>
      <c r="B57" s="1147" t="s">
        <v>784</v>
      </c>
      <c r="C57" s="1138" t="s">
        <v>41</v>
      </c>
      <c r="D57" s="923" t="s">
        <v>740</v>
      </c>
      <c r="E57" s="924" t="s">
        <v>23</v>
      </c>
      <c r="F57" s="991">
        <v>1122</v>
      </c>
      <c r="G57" s="1142">
        <v>1</v>
      </c>
      <c r="H57" s="937">
        <f t="shared" si="3"/>
        <v>0.87816505124419619</v>
      </c>
      <c r="I57" s="926">
        <v>233685</v>
      </c>
      <c r="J57" s="926">
        <v>205214</v>
      </c>
      <c r="K57" s="926">
        <v>0</v>
      </c>
      <c r="L57" s="994">
        <f t="shared" si="2"/>
        <v>28471</v>
      </c>
      <c r="M57" s="978" t="s">
        <v>785</v>
      </c>
      <c r="N57" s="1188"/>
      <c r="O57" s="455"/>
      <c r="P57" s="1165"/>
      <c r="Q57" s="1165"/>
      <c r="R57" s="1165"/>
      <c r="S57" s="1165"/>
      <c r="T57" s="1165"/>
      <c r="U57" s="1165"/>
      <c r="V57" s="1165"/>
      <c r="W57" s="1165"/>
      <c r="X57" s="1165"/>
      <c r="Y57" s="1165"/>
      <c r="Z57" s="1165"/>
      <c r="AA57" s="1165"/>
      <c r="AB57" s="1165"/>
      <c r="AC57" s="1165"/>
      <c r="AD57" s="1165"/>
      <c r="AE57" s="1165"/>
      <c r="AF57" s="1165"/>
      <c r="AG57" s="1165"/>
      <c r="AH57" s="1165"/>
      <c r="AI57" s="1165"/>
      <c r="AJ57" s="1165"/>
      <c r="AK57" s="1165"/>
      <c r="AL57" s="1165"/>
      <c r="AM57" s="1165"/>
      <c r="AN57" s="1165"/>
      <c r="AO57" s="1165"/>
      <c r="AP57" s="1165"/>
      <c r="AQ57" s="1165"/>
      <c r="AR57" s="1165"/>
      <c r="AS57" s="1165"/>
      <c r="AT57" s="1165"/>
      <c r="AU57" s="1165"/>
      <c r="AV57" s="1165"/>
      <c r="AW57" s="1165"/>
      <c r="AX57" s="1165"/>
      <c r="AY57" s="1165"/>
      <c r="AZ57" s="1165"/>
      <c r="BA57" s="1165"/>
      <c r="BB57" s="1165"/>
      <c r="BC57" s="1165"/>
      <c r="BD57" s="1165"/>
      <c r="BE57" s="1165"/>
      <c r="BF57" s="1165"/>
      <c r="BG57" s="1165"/>
      <c r="BH57" s="1165"/>
      <c r="BI57" s="1165"/>
      <c r="BJ57" s="1165"/>
      <c r="BK57" s="1165"/>
      <c r="BL57" s="1165"/>
      <c r="BM57" s="1165"/>
      <c r="BN57" s="1165"/>
      <c r="BO57" s="1165"/>
      <c r="BP57" s="1165"/>
      <c r="BQ57" s="1165"/>
      <c r="BR57" s="1165"/>
      <c r="BS57" s="1165"/>
      <c r="BT57" s="1165"/>
      <c r="BU57" s="1165"/>
      <c r="BV57" s="1165"/>
      <c r="BW57" s="1165"/>
    </row>
    <row r="58" spans="1:75" ht="50.25" customHeight="1">
      <c r="A58" s="1008">
        <v>51</v>
      </c>
      <c r="B58" s="944" t="s">
        <v>620</v>
      </c>
      <c r="C58" s="1138" t="s">
        <v>41</v>
      </c>
      <c r="D58" s="923" t="s">
        <v>740</v>
      </c>
      <c r="E58" s="924" t="s">
        <v>23</v>
      </c>
      <c r="F58" s="996">
        <v>1322</v>
      </c>
      <c r="G58" s="1150">
        <v>1</v>
      </c>
      <c r="H58" s="937">
        <f t="shared" si="3"/>
        <v>0.89889958358185273</v>
      </c>
      <c r="I58" s="926">
        <v>182749</v>
      </c>
      <c r="J58" s="928">
        <v>164273</v>
      </c>
      <c r="K58" s="959">
        <v>653</v>
      </c>
      <c r="L58" s="994">
        <f t="shared" si="2"/>
        <v>17823</v>
      </c>
      <c r="M58" s="926" t="s">
        <v>786</v>
      </c>
      <c r="N58" s="1189" t="s">
        <v>787</v>
      </c>
      <c r="O58" s="1156"/>
      <c r="P58" s="1166"/>
      <c r="Q58" s="1166"/>
      <c r="R58" s="1167"/>
      <c r="S58" s="1168"/>
      <c r="T58" s="1169"/>
      <c r="U58" s="1169"/>
    </row>
    <row r="59" spans="1:75" s="170" customFormat="1" ht="76.5">
      <c r="A59" s="924">
        <v>52</v>
      </c>
      <c r="B59" s="1137" t="s">
        <v>788</v>
      </c>
      <c r="C59" s="1138" t="s">
        <v>41</v>
      </c>
      <c r="D59" s="923" t="s">
        <v>740</v>
      </c>
      <c r="E59" s="924" t="s">
        <v>23</v>
      </c>
      <c r="F59" s="1151">
        <v>989</v>
      </c>
      <c r="G59" s="1132">
        <v>1</v>
      </c>
      <c r="H59" s="937">
        <f t="shared" si="3"/>
        <v>0.84846355406312812</v>
      </c>
      <c r="I59" s="926">
        <v>3489319</v>
      </c>
      <c r="J59" s="926">
        <v>2960560</v>
      </c>
      <c r="K59" s="926">
        <v>9765</v>
      </c>
      <c r="L59" s="994">
        <f t="shared" si="2"/>
        <v>518994</v>
      </c>
      <c r="M59" s="1151" t="s">
        <v>789</v>
      </c>
      <c r="N59" s="1190" t="s">
        <v>790</v>
      </c>
      <c r="O59" s="246"/>
      <c r="P59" s="1164"/>
      <c r="Q59" s="1164"/>
      <c r="R59" s="1164"/>
      <c r="S59" s="1164"/>
      <c r="T59" s="1164"/>
      <c r="U59" s="1164"/>
      <c r="V59" s="1164"/>
      <c r="W59" s="1164"/>
      <c r="X59" s="1164"/>
      <c r="Y59" s="1164"/>
      <c r="Z59" s="1164"/>
      <c r="AA59" s="1164"/>
      <c r="AB59" s="1164"/>
      <c r="AC59" s="1164"/>
      <c r="AD59" s="1164"/>
      <c r="AE59" s="1164"/>
      <c r="AF59" s="1164"/>
      <c r="AG59" s="1164"/>
      <c r="AH59" s="1164"/>
      <c r="AI59" s="1164"/>
      <c r="AJ59" s="1164"/>
      <c r="AK59" s="1164"/>
      <c r="AL59" s="1164"/>
      <c r="AM59" s="1164"/>
      <c r="AN59" s="1164"/>
      <c r="AO59" s="1164"/>
      <c r="AP59" s="1164"/>
      <c r="AQ59" s="1164"/>
      <c r="AR59" s="1164"/>
      <c r="AS59" s="1164"/>
      <c r="AT59" s="1164"/>
      <c r="AU59" s="1164"/>
      <c r="AV59" s="1164"/>
      <c r="AW59" s="1164"/>
      <c r="AX59" s="1164"/>
      <c r="AY59" s="1164"/>
      <c r="AZ59" s="1164"/>
      <c r="BA59" s="1164"/>
      <c r="BB59" s="1164"/>
      <c r="BC59" s="1164"/>
      <c r="BD59" s="1164"/>
      <c r="BE59" s="1164"/>
      <c r="BF59" s="1164"/>
      <c r="BG59" s="1164"/>
      <c r="BH59" s="1164"/>
      <c r="BI59" s="1164"/>
      <c r="BJ59" s="1164"/>
      <c r="BK59" s="1164"/>
      <c r="BL59" s="1164"/>
      <c r="BM59" s="1164"/>
      <c r="BN59" s="1164"/>
      <c r="BO59" s="1164"/>
      <c r="BP59" s="1164"/>
      <c r="BQ59" s="1164"/>
      <c r="BR59" s="1164"/>
      <c r="BS59" s="1164"/>
      <c r="BT59" s="1164"/>
      <c r="BU59" s="1164"/>
      <c r="BV59" s="1164"/>
      <c r="BW59" s="1164"/>
    </row>
    <row r="60" spans="1:75" s="170" customFormat="1" ht="114.75">
      <c r="A60" s="1008">
        <v>53</v>
      </c>
      <c r="B60" s="944" t="s">
        <v>791</v>
      </c>
      <c r="C60" s="1138" t="s">
        <v>41</v>
      </c>
      <c r="D60" s="923" t="s">
        <v>740</v>
      </c>
      <c r="E60" s="924" t="s">
        <v>23</v>
      </c>
      <c r="F60" s="924">
        <v>985</v>
      </c>
      <c r="G60" s="1152">
        <v>1</v>
      </c>
      <c r="H60" s="937">
        <f t="shared" si="3"/>
        <v>0.62145856437379743</v>
      </c>
      <c r="I60" s="926">
        <v>211002</v>
      </c>
      <c r="J60" s="926">
        <f>131126+3</f>
        <v>131129</v>
      </c>
      <c r="K60" s="926">
        <v>3</v>
      </c>
      <c r="L60" s="994">
        <f t="shared" si="2"/>
        <v>79870</v>
      </c>
      <c r="M60" s="923" t="s">
        <v>792</v>
      </c>
      <c r="N60" s="1186" t="s">
        <v>612</v>
      </c>
      <c r="O60" s="246"/>
      <c r="P60" s="1164"/>
      <c r="Q60" s="1164"/>
      <c r="R60" s="1164"/>
      <c r="S60" s="1164"/>
      <c r="T60" s="1164"/>
      <c r="U60" s="1164"/>
      <c r="V60" s="1164"/>
      <c r="W60" s="1164"/>
      <c r="X60" s="1164"/>
      <c r="Y60" s="1164"/>
      <c r="Z60" s="1164"/>
      <c r="AA60" s="1164"/>
      <c r="AB60" s="1164"/>
      <c r="AC60" s="1164"/>
      <c r="AD60" s="1164"/>
      <c r="AE60" s="1164"/>
      <c r="AF60" s="1164"/>
      <c r="AG60" s="1164"/>
      <c r="AH60" s="1164"/>
      <c r="AI60" s="1164"/>
      <c r="AJ60" s="1164"/>
      <c r="AK60" s="1164"/>
      <c r="AL60" s="1164"/>
      <c r="AM60" s="1164"/>
      <c r="AN60" s="1164"/>
      <c r="AO60" s="1164"/>
      <c r="AP60" s="1164"/>
      <c r="AQ60" s="1164"/>
      <c r="AR60" s="1164"/>
      <c r="AS60" s="1164"/>
      <c r="AT60" s="1164"/>
      <c r="AU60" s="1164"/>
      <c r="AV60" s="1164"/>
      <c r="AW60" s="1164"/>
      <c r="AX60" s="1164"/>
      <c r="AY60" s="1164"/>
      <c r="AZ60" s="1164"/>
      <c r="BA60" s="1164"/>
      <c r="BB60" s="1164"/>
      <c r="BC60" s="1164"/>
      <c r="BD60" s="1164"/>
      <c r="BE60" s="1164"/>
      <c r="BF60" s="1164"/>
      <c r="BG60" s="1164"/>
      <c r="BH60" s="1164"/>
      <c r="BI60" s="1164"/>
      <c r="BJ60" s="1164"/>
      <c r="BK60" s="1164"/>
      <c r="BL60" s="1164"/>
      <c r="BM60" s="1164"/>
      <c r="BN60" s="1164"/>
      <c r="BO60" s="1164"/>
      <c r="BP60" s="1164"/>
      <c r="BQ60" s="1164"/>
      <c r="BR60" s="1164"/>
      <c r="BS60" s="1164"/>
      <c r="BT60" s="1164"/>
      <c r="BU60" s="1164"/>
      <c r="BV60" s="1164"/>
      <c r="BW60" s="1164"/>
    </row>
    <row r="61" spans="1:75" s="170" customFormat="1" ht="140.25">
      <c r="A61" s="924">
        <v>54</v>
      </c>
      <c r="B61" s="944" t="s">
        <v>793</v>
      </c>
      <c r="C61" s="1138" t="s">
        <v>41</v>
      </c>
      <c r="D61" s="923" t="s">
        <v>740</v>
      </c>
      <c r="E61" s="924" t="s">
        <v>23</v>
      </c>
      <c r="F61" s="923" t="s">
        <v>794</v>
      </c>
      <c r="G61" s="1142">
        <v>1</v>
      </c>
      <c r="H61" s="937">
        <f t="shared" si="3"/>
        <v>0.65125474019940233</v>
      </c>
      <c r="I61" s="926">
        <v>637104</v>
      </c>
      <c r="J61" s="926">
        <v>414917</v>
      </c>
      <c r="K61" s="926">
        <v>357</v>
      </c>
      <c r="L61" s="994">
        <f t="shared" si="2"/>
        <v>221830</v>
      </c>
      <c r="M61" s="923" t="s">
        <v>795</v>
      </c>
      <c r="N61" s="1185" t="s">
        <v>796</v>
      </c>
      <c r="O61" s="246"/>
      <c r="P61" s="1164"/>
      <c r="Q61" s="1164"/>
      <c r="R61" s="1164"/>
      <c r="S61" s="1164"/>
      <c r="T61" s="1164"/>
      <c r="U61" s="1164"/>
      <c r="V61" s="1164"/>
      <c r="W61" s="1164"/>
      <c r="X61" s="1164"/>
      <c r="Y61" s="1164"/>
      <c r="Z61" s="1164"/>
      <c r="AA61" s="1164"/>
      <c r="AB61" s="1164"/>
      <c r="AC61" s="1164"/>
      <c r="AD61" s="1164"/>
      <c r="AE61" s="1164"/>
      <c r="AF61" s="1164"/>
      <c r="AG61" s="1164"/>
      <c r="AH61" s="1164"/>
      <c r="AI61" s="1164"/>
      <c r="AJ61" s="1164"/>
      <c r="AK61" s="1164"/>
      <c r="AL61" s="1164"/>
      <c r="AM61" s="1164"/>
      <c r="AN61" s="1164"/>
      <c r="AO61" s="1164"/>
      <c r="AP61" s="1164"/>
      <c r="AQ61" s="1164"/>
      <c r="AR61" s="1164"/>
      <c r="AS61" s="1164"/>
      <c r="AT61" s="1164"/>
      <c r="AU61" s="1164"/>
      <c r="AV61" s="1164"/>
      <c r="AW61" s="1164"/>
      <c r="AX61" s="1164"/>
      <c r="AY61" s="1164"/>
      <c r="AZ61" s="1164"/>
      <c r="BA61" s="1164"/>
      <c r="BB61" s="1164"/>
      <c r="BC61" s="1164"/>
      <c r="BD61" s="1164"/>
      <c r="BE61" s="1164"/>
      <c r="BF61" s="1164"/>
      <c r="BG61" s="1164"/>
      <c r="BH61" s="1164"/>
      <c r="BI61" s="1164"/>
      <c r="BJ61" s="1164"/>
      <c r="BK61" s="1164"/>
      <c r="BL61" s="1164"/>
      <c r="BM61" s="1164"/>
      <c r="BN61" s="1164"/>
      <c r="BO61" s="1164"/>
      <c r="BP61" s="1164"/>
      <c r="BQ61" s="1164"/>
      <c r="BR61" s="1164"/>
      <c r="BS61" s="1164"/>
      <c r="BT61" s="1164"/>
      <c r="BU61" s="1164"/>
      <c r="BV61" s="1164"/>
      <c r="BW61" s="1164"/>
    </row>
    <row r="62" spans="1:75" s="170" customFormat="1" ht="114.75">
      <c r="A62" s="1008">
        <v>55</v>
      </c>
      <c r="B62" s="1143" t="s">
        <v>797</v>
      </c>
      <c r="C62" s="1138" t="s">
        <v>41</v>
      </c>
      <c r="D62" s="923" t="s">
        <v>740</v>
      </c>
      <c r="E62" s="924" t="s">
        <v>23</v>
      </c>
      <c r="F62" s="924">
        <v>361</v>
      </c>
      <c r="G62" s="1142">
        <v>1</v>
      </c>
      <c r="H62" s="937">
        <f t="shared" si="3"/>
        <v>0.84251697303684181</v>
      </c>
      <c r="I62" s="926">
        <v>660812.80000000005</v>
      </c>
      <c r="J62" s="926">
        <v>556746</v>
      </c>
      <c r="K62" s="926">
        <v>3</v>
      </c>
      <c r="L62" s="994">
        <f t="shared" si="2"/>
        <v>104063.80000000005</v>
      </c>
      <c r="M62" s="923" t="s">
        <v>798</v>
      </c>
      <c r="N62" s="1186" t="s">
        <v>799</v>
      </c>
      <c r="O62" s="246"/>
      <c r="P62" s="1164"/>
      <c r="Q62" s="1164"/>
      <c r="R62" s="1164"/>
      <c r="S62" s="1164"/>
      <c r="T62" s="1164"/>
      <c r="U62" s="1164"/>
      <c r="V62" s="1164"/>
      <c r="W62" s="1164"/>
      <c r="X62" s="1164"/>
      <c r="Y62" s="1164"/>
      <c r="Z62" s="1164"/>
      <c r="AA62" s="1164"/>
      <c r="AB62" s="1164"/>
      <c r="AC62" s="1164"/>
      <c r="AD62" s="1164"/>
      <c r="AE62" s="1164"/>
      <c r="AF62" s="1164"/>
      <c r="AG62" s="1164"/>
      <c r="AH62" s="1164"/>
      <c r="AI62" s="1164"/>
      <c r="AJ62" s="1164"/>
      <c r="AK62" s="1164"/>
      <c r="AL62" s="1164"/>
      <c r="AM62" s="1164"/>
      <c r="AN62" s="1164"/>
      <c r="AO62" s="1164"/>
      <c r="AP62" s="1164"/>
      <c r="AQ62" s="1164"/>
      <c r="AR62" s="1164"/>
      <c r="AS62" s="1164"/>
      <c r="AT62" s="1164"/>
      <c r="AU62" s="1164"/>
      <c r="AV62" s="1164"/>
      <c r="AW62" s="1164"/>
      <c r="AX62" s="1164"/>
      <c r="AY62" s="1164"/>
      <c r="AZ62" s="1164"/>
      <c r="BA62" s="1164"/>
      <c r="BB62" s="1164"/>
      <c r="BC62" s="1164"/>
      <c r="BD62" s="1164"/>
      <c r="BE62" s="1164"/>
      <c r="BF62" s="1164"/>
      <c r="BG62" s="1164"/>
      <c r="BH62" s="1164"/>
      <c r="BI62" s="1164"/>
      <c r="BJ62" s="1164"/>
      <c r="BK62" s="1164"/>
      <c r="BL62" s="1164"/>
      <c r="BM62" s="1164"/>
      <c r="BN62" s="1164"/>
      <c r="BO62" s="1164"/>
      <c r="BP62" s="1164"/>
      <c r="BQ62" s="1164"/>
      <c r="BR62" s="1164"/>
      <c r="BS62" s="1164"/>
      <c r="BT62" s="1164"/>
      <c r="BU62" s="1164"/>
      <c r="BV62" s="1164"/>
      <c r="BW62" s="1164"/>
    </row>
    <row r="63" spans="1:75" s="170" customFormat="1" ht="51">
      <c r="A63" s="924">
        <v>56</v>
      </c>
      <c r="B63" s="1143" t="s">
        <v>800</v>
      </c>
      <c r="C63" s="1138" t="s">
        <v>41</v>
      </c>
      <c r="D63" s="923" t="s">
        <v>740</v>
      </c>
      <c r="E63" s="924" t="s">
        <v>23</v>
      </c>
      <c r="F63" s="924">
        <v>348</v>
      </c>
      <c r="G63" s="1142">
        <v>1</v>
      </c>
      <c r="H63" s="937">
        <f t="shared" si="3"/>
        <v>0.83593576608890507</v>
      </c>
      <c r="I63" s="926">
        <v>139677</v>
      </c>
      <c r="J63" s="926">
        <v>116761</v>
      </c>
      <c r="K63" s="926">
        <f>0</f>
        <v>0</v>
      </c>
      <c r="L63" s="994">
        <f t="shared" si="2"/>
        <v>22916</v>
      </c>
      <c r="M63" s="923" t="s">
        <v>801</v>
      </c>
      <c r="N63" s="1186" t="s">
        <v>802</v>
      </c>
      <c r="O63" s="246"/>
      <c r="P63" s="1164"/>
      <c r="Q63" s="1164"/>
      <c r="R63" s="1164"/>
      <c r="S63" s="1164"/>
      <c r="T63" s="1164"/>
      <c r="U63" s="1164"/>
      <c r="V63" s="1164"/>
      <c r="W63" s="1164"/>
      <c r="X63" s="1164"/>
      <c r="Y63" s="1164"/>
      <c r="Z63" s="1164"/>
      <c r="AA63" s="1164"/>
      <c r="AB63" s="1164"/>
      <c r="AC63" s="1164"/>
      <c r="AD63" s="1164"/>
      <c r="AE63" s="1164"/>
      <c r="AF63" s="1164"/>
      <c r="AG63" s="1164"/>
      <c r="AH63" s="1164"/>
      <c r="AI63" s="1164"/>
      <c r="AJ63" s="1164"/>
      <c r="AK63" s="1164"/>
      <c r="AL63" s="1164"/>
      <c r="AM63" s="1164"/>
      <c r="AN63" s="1164"/>
      <c r="AO63" s="1164"/>
      <c r="AP63" s="1164"/>
      <c r="AQ63" s="1164"/>
      <c r="AR63" s="1164"/>
      <c r="AS63" s="1164"/>
      <c r="AT63" s="1164"/>
      <c r="AU63" s="1164"/>
      <c r="AV63" s="1164"/>
      <c r="AW63" s="1164"/>
      <c r="AX63" s="1164"/>
      <c r="AY63" s="1164"/>
      <c r="AZ63" s="1164"/>
      <c r="BA63" s="1164"/>
      <c r="BB63" s="1164"/>
      <c r="BC63" s="1164"/>
      <c r="BD63" s="1164"/>
      <c r="BE63" s="1164"/>
      <c r="BF63" s="1164"/>
      <c r="BG63" s="1164"/>
      <c r="BH63" s="1164"/>
      <c r="BI63" s="1164"/>
      <c r="BJ63" s="1164"/>
      <c r="BK63" s="1164"/>
      <c r="BL63" s="1164"/>
      <c r="BM63" s="1164"/>
      <c r="BN63" s="1164"/>
      <c r="BO63" s="1164"/>
      <c r="BP63" s="1164"/>
      <c r="BQ63" s="1164"/>
      <c r="BR63" s="1164"/>
      <c r="BS63" s="1164"/>
      <c r="BT63" s="1164"/>
      <c r="BU63" s="1164"/>
      <c r="BV63" s="1164"/>
      <c r="BW63" s="1164"/>
    </row>
    <row r="64" spans="1:75" s="170" customFormat="1" ht="127.5">
      <c r="A64" s="1008">
        <v>57</v>
      </c>
      <c r="B64" s="1143" t="s">
        <v>803</v>
      </c>
      <c r="C64" s="1138" t="s">
        <v>41</v>
      </c>
      <c r="D64" s="923" t="s">
        <v>740</v>
      </c>
      <c r="E64" s="924" t="s">
        <v>23</v>
      </c>
      <c r="F64" s="924">
        <v>349</v>
      </c>
      <c r="G64" s="1142">
        <v>1</v>
      </c>
      <c r="H64" s="937">
        <f t="shared" si="3"/>
        <v>0.78960148245969031</v>
      </c>
      <c r="I64" s="926">
        <v>234745</v>
      </c>
      <c r="J64" s="926">
        <v>185355</v>
      </c>
      <c r="K64" s="926">
        <v>500</v>
      </c>
      <c r="L64" s="994">
        <f t="shared" si="2"/>
        <v>48890</v>
      </c>
      <c r="M64" s="923" t="s">
        <v>804</v>
      </c>
      <c r="N64" s="1186"/>
      <c r="O64" s="246"/>
      <c r="P64" s="1164"/>
      <c r="Q64" s="1164"/>
      <c r="R64" s="1164"/>
      <c r="S64" s="1164"/>
      <c r="T64" s="1164"/>
      <c r="U64" s="1164"/>
      <c r="V64" s="1164"/>
      <c r="W64" s="1164"/>
      <c r="X64" s="1164"/>
      <c r="Y64" s="1164"/>
      <c r="Z64" s="1164"/>
      <c r="AA64" s="1164"/>
      <c r="AB64" s="1164"/>
      <c r="AC64" s="1164"/>
      <c r="AD64" s="1164"/>
      <c r="AE64" s="1164"/>
      <c r="AF64" s="1164"/>
      <c r="AG64" s="1164"/>
      <c r="AH64" s="1164"/>
      <c r="AI64" s="1164"/>
      <c r="AJ64" s="1164"/>
      <c r="AK64" s="1164"/>
      <c r="AL64" s="1164"/>
      <c r="AM64" s="1164"/>
      <c r="AN64" s="1164"/>
      <c r="AO64" s="1164"/>
      <c r="AP64" s="1164"/>
      <c r="AQ64" s="1164"/>
      <c r="AR64" s="1164"/>
      <c r="AS64" s="1164"/>
      <c r="AT64" s="1164"/>
      <c r="AU64" s="1164"/>
      <c r="AV64" s="1164"/>
      <c r="AW64" s="1164"/>
      <c r="AX64" s="1164"/>
      <c r="AY64" s="1164"/>
      <c r="AZ64" s="1164"/>
      <c r="BA64" s="1164"/>
      <c r="BB64" s="1164"/>
      <c r="BC64" s="1164"/>
      <c r="BD64" s="1164"/>
      <c r="BE64" s="1164"/>
      <c r="BF64" s="1164"/>
      <c r="BG64" s="1164"/>
      <c r="BH64" s="1164"/>
      <c r="BI64" s="1164"/>
      <c r="BJ64" s="1164"/>
      <c r="BK64" s="1164"/>
      <c r="BL64" s="1164"/>
      <c r="BM64" s="1164"/>
      <c r="BN64" s="1164"/>
      <c r="BO64" s="1164"/>
      <c r="BP64" s="1164"/>
      <c r="BQ64" s="1164"/>
      <c r="BR64" s="1164"/>
      <c r="BS64" s="1164"/>
      <c r="BT64" s="1164"/>
      <c r="BU64" s="1164"/>
      <c r="BV64" s="1164"/>
      <c r="BW64" s="1164"/>
    </row>
    <row r="65" spans="1:75" s="120" customFormat="1" ht="71.25" customHeight="1">
      <c r="A65" s="924">
        <v>58</v>
      </c>
      <c r="B65" s="1153" t="s">
        <v>805</v>
      </c>
      <c r="C65" s="1138" t="s">
        <v>41</v>
      </c>
      <c r="D65" s="1154" t="s">
        <v>806</v>
      </c>
      <c r="E65" s="1154" t="s">
        <v>23</v>
      </c>
      <c r="F65" s="1154">
        <v>384</v>
      </c>
      <c r="G65" s="1155">
        <v>1</v>
      </c>
      <c r="H65" s="937">
        <f t="shared" si="3"/>
        <v>0.92820673250611474</v>
      </c>
      <c r="I65" s="928">
        <v>2023407</v>
      </c>
      <c r="J65" s="928">
        <v>1878140</v>
      </c>
      <c r="K65" s="928">
        <v>0</v>
      </c>
      <c r="L65" s="994">
        <f t="shared" si="2"/>
        <v>145267</v>
      </c>
      <c r="M65" s="923">
        <v>2015</v>
      </c>
      <c r="N65" s="1186" t="s">
        <v>807</v>
      </c>
      <c r="O65" s="858"/>
      <c r="P65" s="1171"/>
      <c r="Q65" s="1171"/>
      <c r="R65" s="1171"/>
      <c r="S65" s="1171"/>
      <c r="T65" s="1171"/>
      <c r="U65" s="1171"/>
      <c r="V65" s="1171"/>
      <c r="W65" s="1171"/>
      <c r="X65" s="1171"/>
      <c r="Y65" s="1171"/>
      <c r="Z65" s="1171"/>
      <c r="AA65" s="1171"/>
      <c r="AB65" s="1171"/>
      <c r="AC65" s="1171"/>
      <c r="AD65" s="1171"/>
      <c r="AE65" s="1171"/>
      <c r="AF65" s="1171"/>
      <c r="AG65" s="1171"/>
      <c r="AH65" s="1171"/>
      <c r="AI65" s="1171"/>
      <c r="AJ65" s="1171"/>
      <c r="AK65" s="1171"/>
      <c r="AL65" s="1171"/>
      <c r="AM65" s="1171"/>
      <c r="AN65" s="1171"/>
      <c r="AO65" s="1171"/>
      <c r="AP65" s="1171"/>
      <c r="AQ65" s="1171"/>
      <c r="AR65" s="1171"/>
      <c r="AS65" s="1171"/>
      <c r="AT65" s="1171"/>
      <c r="AU65" s="1171"/>
      <c r="AV65" s="1171"/>
      <c r="AW65" s="1171"/>
      <c r="AX65" s="1171"/>
      <c r="AY65" s="1171"/>
      <c r="AZ65" s="1171"/>
      <c r="BA65" s="1171"/>
      <c r="BB65" s="1171"/>
      <c r="BC65" s="1171"/>
      <c r="BD65" s="1171"/>
      <c r="BE65" s="1171"/>
      <c r="BF65" s="1171"/>
      <c r="BG65" s="1171"/>
      <c r="BH65" s="1171"/>
      <c r="BI65" s="1171"/>
      <c r="BJ65" s="1171"/>
      <c r="BK65" s="1171"/>
      <c r="BL65" s="1171"/>
      <c r="BM65" s="1171"/>
      <c r="BN65" s="1171"/>
      <c r="BO65" s="1171"/>
      <c r="BP65" s="1171"/>
      <c r="BQ65" s="1171"/>
      <c r="BR65" s="1171"/>
      <c r="BS65" s="1171"/>
      <c r="BT65" s="1171"/>
      <c r="BU65" s="1171"/>
      <c r="BV65" s="1171"/>
      <c r="BW65" s="1171"/>
    </row>
    <row r="66" spans="1:75" s="860" customFormat="1" ht="105.75" customHeight="1">
      <c r="A66" s="1008">
        <v>59</v>
      </c>
      <c r="B66" s="944" t="s">
        <v>808</v>
      </c>
      <c r="C66" s="924" t="s">
        <v>41</v>
      </c>
      <c r="D66" s="923" t="s">
        <v>740</v>
      </c>
      <c r="E66" s="923" t="s">
        <v>23</v>
      </c>
      <c r="F66" s="999">
        <v>1001</v>
      </c>
      <c r="G66" s="1145">
        <v>1</v>
      </c>
      <c r="H66" s="937">
        <f t="shared" si="3"/>
        <v>0.23466099607381824</v>
      </c>
      <c r="I66" s="928">
        <v>198921</v>
      </c>
      <c r="J66" s="926">
        <v>46679</v>
      </c>
      <c r="K66" s="928">
        <v>15</v>
      </c>
      <c r="L66" s="994">
        <f t="shared" ref="L66:L69" si="4">I66-J66-K66</f>
        <v>152227</v>
      </c>
      <c r="M66" s="923" t="s">
        <v>809</v>
      </c>
      <c r="N66" s="1185" t="s">
        <v>810</v>
      </c>
      <c r="O66" s="859"/>
      <c r="P66" s="1172"/>
      <c r="Q66" s="1172"/>
      <c r="R66" s="1172"/>
      <c r="S66" s="1172"/>
      <c r="T66" s="1172"/>
      <c r="U66" s="1172"/>
      <c r="V66" s="1172"/>
      <c r="W66" s="1172"/>
      <c r="X66" s="1172"/>
      <c r="Y66" s="1172"/>
      <c r="Z66" s="1172"/>
      <c r="AA66" s="1172"/>
      <c r="AB66" s="1172"/>
      <c r="AC66" s="1172"/>
      <c r="AD66" s="1172"/>
      <c r="AE66" s="1172"/>
      <c r="AF66" s="1172"/>
      <c r="AG66" s="1172"/>
      <c r="AH66" s="1172"/>
      <c r="AI66" s="1172"/>
      <c r="AJ66" s="1172"/>
      <c r="AK66" s="1172"/>
      <c r="AL66" s="1172"/>
      <c r="AM66" s="1172"/>
      <c r="AN66" s="1172"/>
      <c r="AO66" s="1172"/>
      <c r="AP66" s="1172"/>
      <c r="AQ66" s="1172"/>
      <c r="AR66" s="1172"/>
      <c r="AS66" s="1172"/>
      <c r="AT66" s="1172"/>
      <c r="AU66" s="1172"/>
      <c r="AV66" s="1172"/>
      <c r="AW66" s="1172"/>
      <c r="AX66" s="1172"/>
      <c r="AY66" s="1172"/>
      <c r="AZ66" s="1172"/>
      <c r="BA66" s="1172"/>
      <c r="BB66" s="1172"/>
      <c r="BC66" s="1172"/>
      <c r="BD66" s="1172"/>
      <c r="BE66" s="1172"/>
      <c r="BF66" s="1172"/>
      <c r="BG66" s="1172"/>
      <c r="BH66" s="1172"/>
      <c r="BI66" s="1172"/>
      <c r="BJ66" s="1172"/>
      <c r="BK66" s="1172"/>
      <c r="BL66" s="1172"/>
      <c r="BM66" s="1172"/>
      <c r="BN66" s="1172"/>
      <c r="BO66" s="1172"/>
      <c r="BP66" s="1172"/>
      <c r="BQ66" s="1172"/>
      <c r="BR66" s="1172"/>
      <c r="BS66" s="1172"/>
      <c r="BT66" s="1172"/>
      <c r="BU66" s="1172"/>
      <c r="BV66" s="1172"/>
      <c r="BW66" s="1172"/>
    </row>
    <row r="67" spans="1:75" s="860" customFormat="1" ht="67.5" customHeight="1">
      <c r="A67" s="924">
        <v>60</v>
      </c>
      <c r="B67" s="922" t="s">
        <v>197</v>
      </c>
      <c r="C67" s="923" t="s">
        <v>60</v>
      </c>
      <c r="D67" s="929" t="s">
        <v>198</v>
      </c>
      <c r="E67" s="923" t="s">
        <v>23</v>
      </c>
      <c r="F67" s="999">
        <v>1113</v>
      </c>
      <c r="G67" s="1145">
        <v>1</v>
      </c>
      <c r="H67" s="937">
        <f t="shared" si="3"/>
        <v>0.81820481414421131</v>
      </c>
      <c r="I67" s="928">
        <v>150224</v>
      </c>
      <c r="J67" s="926">
        <v>122914</v>
      </c>
      <c r="K67" s="928">
        <v>27310</v>
      </c>
      <c r="L67" s="994">
        <f t="shared" si="4"/>
        <v>0</v>
      </c>
      <c r="M67" s="923" t="s">
        <v>811</v>
      </c>
      <c r="N67" s="1185"/>
      <c r="O67" s="859"/>
      <c r="P67" s="1172"/>
      <c r="Q67" s="1172"/>
      <c r="R67" s="1172"/>
      <c r="S67" s="1172"/>
      <c r="T67" s="1172"/>
      <c r="U67" s="1172"/>
      <c r="V67" s="1172"/>
      <c r="W67" s="1172"/>
      <c r="X67" s="1172"/>
      <c r="Y67" s="1172"/>
      <c r="Z67" s="1172"/>
      <c r="AA67" s="1172"/>
      <c r="AB67" s="1172"/>
      <c r="AC67" s="1172"/>
      <c r="AD67" s="1172"/>
      <c r="AE67" s="1172"/>
      <c r="AF67" s="1172"/>
      <c r="AG67" s="1172"/>
      <c r="AH67" s="1172"/>
      <c r="AI67" s="1172"/>
      <c r="AJ67" s="1172"/>
      <c r="AK67" s="1172"/>
      <c r="AL67" s="1172"/>
      <c r="AM67" s="1172"/>
      <c r="AN67" s="1172"/>
      <c r="AO67" s="1172"/>
      <c r="AP67" s="1172"/>
      <c r="AQ67" s="1172"/>
      <c r="AR67" s="1172"/>
      <c r="AS67" s="1172"/>
      <c r="AT67" s="1172"/>
      <c r="AU67" s="1172"/>
      <c r="AV67" s="1172"/>
      <c r="AW67" s="1172"/>
      <c r="AX67" s="1172"/>
      <c r="AY67" s="1172"/>
      <c r="AZ67" s="1172"/>
      <c r="BA67" s="1172"/>
      <c r="BB67" s="1172"/>
      <c r="BC67" s="1172"/>
      <c r="BD67" s="1172"/>
      <c r="BE67" s="1172"/>
      <c r="BF67" s="1172"/>
      <c r="BG67" s="1172"/>
      <c r="BH67" s="1172"/>
      <c r="BI67" s="1172"/>
      <c r="BJ67" s="1172"/>
      <c r="BK67" s="1172"/>
      <c r="BL67" s="1172"/>
      <c r="BM67" s="1172"/>
      <c r="BN67" s="1172"/>
      <c r="BO67" s="1172"/>
      <c r="BP67" s="1172"/>
      <c r="BQ67" s="1172"/>
      <c r="BR67" s="1172"/>
      <c r="BS67" s="1172"/>
      <c r="BT67" s="1172"/>
      <c r="BU67" s="1172"/>
      <c r="BV67" s="1172"/>
      <c r="BW67" s="1172"/>
    </row>
    <row r="68" spans="1:75" s="860" customFormat="1" ht="83.25" customHeight="1">
      <c r="A68" s="1008">
        <v>61</v>
      </c>
      <c r="B68" s="922" t="s">
        <v>818</v>
      </c>
      <c r="C68" s="924" t="s">
        <v>41</v>
      </c>
      <c r="D68" s="923" t="s">
        <v>740</v>
      </c>
      <c r="E68" s="923" t="s">
        <v>23</v>
      </c>
      <c r="F68" s="999">
        <v>1041</v>
      </c>
      <c r="G68" s="1145">
        <v>1</v>
      </c>
      <c r="H68" s="937">
        <v>0.72529999999999994</v>
      </c>
      <c r="I68" s="928">
        <v>730401</v>
      </c>
      <c r="J68" s="926">
        <v>529749</v>
      </c>
      <c r="K68" s="928">
        <v>9825</v>
      </c>
      <c r="L68" s="994">
        <f t="shared" si="4"/>
        <v>190827</v>
      </c>
      <c r="M68" s="923" t="s">
        <v>819</v>
      </c>
      <c r="N68" s="1185"/>
      <c r="O68" s="859"/>
      <c r="P68" s="1172"/>
      <c r="Q68" s="1172"/>
      <c r="R68" s="1172"/>
      <c r="S68" s="1172"/>
      <c r="T68" s="1172"/>
      <c r="U68" s="1172"/>
      <c r="V68" s="1172"/>
      <c r="W68" s="1172"/>
      <c r="X68" s="1172"/>
      <c r="Y68" s="1172"/>
      <c r="Z68" s="1172"/>
      <c r="AA68" s="1172"/>
      <c r="AB68" s="1172"/>
      <c r="AC68" s="1172"/>
      <c r="AD68" s="1172"/>
      <c r="AE68" s="1172"/>
      <c r="AF68" s="1172"/>
      <c r="AG68" s="1172"/>
      <c r="AH68" s="1172"/>
      <c r="AI68" s="1172"/>
      <c r="AJ68" s="1172"/>
      <c r="AK68" s="1172"/>
      <c r="AL68" s="1172"/>
      <c r="AM68" s="1172"/>
      <c r="AN68" s="1172"/>
      <c r="AO68" s="1172"/>
      <c r="AP68" s="1172"/>
      <c r="AQ68" s="1172"/>
      <c r="AR68" s="1172"/>
      <c r="AS68" s="1172"/>
      <c r="AT68" s="1172"/>
      <c r="AU68" s="1172"/>
      <c r="AV68" s="1172"/>
      <c r="AW68" s="1172"/>
      <c r="AX68" s="1172"/>
      <c r="AY68" s="1172"/>
      <c r="AZ68" s="1172"/>
      <c r="BA68" s="1172"/>
      <c r="BB68" s="1172"/>
      <c r="BC68" s="1172"/>
      <c r="BD68" s="1172"/>
      <c r="BE68" s="1172"/>
      <c r="BF68" s="1172"/>
      <c r="BG68" s="1172"/>
      <c r="BH68" s="1172"/>
      <c r="BI68" s="1172"/>
      <c r="BJ68" s="1172"/>
      <c r="BK68" s="1172"/>
      <c r="BL68" s="1172"/>
      <c r="BM68" s="1172"/>
      <c r="BN68" s="1172"/>
      <c r="BO68" s="1172"/>
      <c r="BP68" s="1172"/>
      <c r="BQ68" s="1172"/>
      <c r="BR68" s="1172"/>
      <c r="BS68" s="1172"/>
      <c r="BT68" s="1172"/>
      <c r="BU68" s="1172"/>
      <c r="BV68" s="1172"/>
      <c r="BW68" s="1172"/>
    </row>
    <row r="69" spans="1:75" s="861" customFormat="1" ht="30" customHeight="1">
      <c r="A69" s="924">
        <v>62</v>
      </c>
      <c r="B69" s="1133" t="s">
        <v>224</v>
      </c>
      <c r="C69" s="924" t="s">
        <v>41</v>
      </c>
      <c r="D69" s="929" t="s">
        <v>54</v>
      </c>
      <c r="E69" s="923" t="s">
        <v>23</v>
      </c>
      <c r="F69" s="999">
        <v>1042</v>
      </c>
      <c r="G69" s="937">
        <v>0.90390000000000004</v>
      </c>
      <c r="H69" s="939">
        <v>0.90390000000000004</v>
      </c>
      <c r="I69" s="996">
        <v>453532</v>
      </c>
      <c r="J69" s="926">
        <v>366547</v>
      </c>
      <c r="K69" s="926">
        <v>58376</v>
      </c>
      <c r="L69" s="994">
        <f t="shared" si="4"/>
        <v>28609</v>
      </c>
      <c r="M69" s="926" t="s">
        <v>812</v>
      </c>
      <c r="N69" s="1184" t="s">
        <v>813</v>
      </c>
      <c r="O69" s="1157"/>
      <c r="P69" s="1173"/>
      <c r="Q69" s="1174"/>
      <c r="R69" s="1175"/>
      <c r="S69" s="1176"/>
      <c r="T69" s="1177"/>
      <c r="U69" s="1178"/>
      <c r="V69" s="1178"/>
      <c r="W69" s="1179"/>
      <c r="X69" s="1180"/>
      <c r="Y69" s="1180"/>
      <c r="Z69" s="1180"/>
      <c r="AA69" s="1180"/>
      <c r="AB69" s="1180"/>
      <c r="AC69" s="1180"/>
      <c r="AD69" s="1180"/>
      <c r="AE69" s="1180"/>
      <c r="AF69" s="1180"/>
      <c r="AG69" s="1180"/>
      <c r="AH69" s="1180"/>
      <c r="AI69" s="1180"/>
      <c r="AJ69" s="1180"/>
      <c r="AK69" s="1180"/>
      <c r="AL69" s="1180"/>
      <c r="AM69" s="1180"/>
      <c r="AN69" s="1180"/>
      <c r="AO69" s="1180"/>
      <c r="AP69" s="1180"/>
      <c r="AQ69" s="1180"/>
      <c r="AR69" s="1180"/>
      <c r="AS69" s="1180"/>
      <c r="AT69" s="1180"/>
      <c r="AU69" s="1180"/>
      <c r="AV69" s="1180"/>
      <c r="AW69" s="1180"/>
      <c r="AX69" s="1180"/>
      <c r="AY69" s="1180"/>
      <c r="AZ69" s="1180"/>
      <c r="BA69" s="1180"/>
      <c r="BB69" s="1180"/>
      <c r="BC69" s="1180"/>
      <c r="BD69" s="1180"/>
      <c r="BE69" s="1180"/>
      <c r="BF69" s="1180"/>
      <c r="BG69" s="1180"/>
      <c r="BH69" s="1180"/>
      <c r="BI69" s="1180"/>
      <c r="BJ69" s="1180"/>
      <c r="BK69" s="1180"/>
      <c r="BL69" s="1180"/>
      <c r="BM69" s="1180"/>
      <c r="BN69" s="1180"/>
      <c r="BO69" s="1180"/>
      <c r="BP69" s="1180"/>
      <c r="BQ69" s="1180"/>
      <c r="BR69" s="1180"/>
      <c r="BS69" s="1180"/>
      <c r="BT69" s="1180"/>
      <c r="BU69" s="1180"/>
      <c r="BV69" s="1180"/>
      <c r="BW69" s="1180"/>
    </row>
    <row r="70" spans="1:75" ht="27.75" customHeight="1" thickBot="1">
      <c r="A70" s="862"/>
      <c r="B70" s="863" t="s">
        <v>394</v>
      </c>
      <c r="C70" s="863">
        <f>COUNT(A8:A69)</f>
        <v>62</v>
      </c>
      <c r="D70" s="864"/>
      <c r="E70" s="865"/>
      <c r="F70" s="866"/>
      <c r="G70" s="867"/>
      <c r="H70" s="868"/>
      <c r="I70" s="869">
        <f>SUM(I8:I69)</f>
        <v>43883716.089999996</v>
      </c>
      <c r="J70" s="869">
        <f t="shared" ref="J70:L70" si="5">SUM(J8:J69)</f>
        <v>34870327.259999998</v>
      </c>
      <c r="K70" s="869">
        <f t="shared" si="5"/>
        <v>1066761</v>
      </c>
      <c r="L70" s="869">
        <f t="shared" si="5"/>
        <v>7946627.8300000001</v>
      </c>
      <c r="M70" s="870"/>
      <c r="N70" s="871"/>
    </row>
    <row r="71" spans="1:75" ht="30" customHeight="1">
      <c r="A71" s="489"/>
      <c r="B71" s="872"/>
      <c r="C71" s="872"/>
      <c r="D71" s="873"/>
      <c r="E71" s="874"/>
      <c r="F71" s="875"/>
      <c r="G71" s="876"/>
      <c r="H71" s="877"/>
      <c r="I71" s="878"/>
      <c r="J71" s="878"/>
      <c r="K71" s="879"/>
      <c r="L71" s="879"/>
      <c r="M71" s="880"/>
      <c r="N71" s="881"/>
    </row>
    <row r="72" spans="1:75">
      <c r="A72" s="489"/>
      <c r="B72" s="882"/>
      <c r="C72" s="882"/>
      <c r="D72" s="873"/>
      <c r="E72" s="874"/>
      <c r="F72" s="875"/>
      <c r="G72" s="876"/>
      <c r="H72" s="877" t="s">
        <v>821</v>
      </c>
      <c r="I72" s="878">
        <f>I8+I9</f>
        <v>353036</v>
      </c>
      <c r="J72" s="878">
        <f t="shared" ref="J72:L72" si="6">J8+J9</f>
        <v>220705</v>
      </c>
      <c r="K72" s="878">
        <f t="shared" si="6"/>
        <v>794</v>
      </c>
      <c r="L72" s="878">
        <f t="shared" si="6"/>
        <v>131537</v>
      </c>
      <c r="M72" s="880"/>
      <c r="N72" s="881"/>
    </row>
    <row r="73" spans="1:75">
      <c r="A73" s="489"/>
      <c r="B73" s="883"/>
      <c r="C73" s="883"/>
      <c r="D73" s="873"/>
      <c r="E73" s="874"/>
      <c r="F73" s="875"/>
      <c r="G73" s="876"/>
      <c r="H73" s="877" t="s">
        <v>820</v>
      </c>
      <c r="I73" s="878">
        <f>I69+I68+I66+I65+I64+I63+I62+I61+I60+I59+I58+I57+I56+I55+I54+I53+I52+I51+I50+I49+I48+I47+I46+I45+I44+I43+I42+I41+I40+I39+I38+I37+I36+I35+I34+I33+I32+I31+I30+I29+I28+I27+I26+I25+I24+I23+I22+I21+I20+I19+I18+I17+I16+I15+I14+I13+I12+I11+I10</f>
        <v>43380456.090000004</v>
      </c>
      <c r="J73" s="878">
        <f t="shared" ref="J73:L73" si="7">J69+J68+J66+J65+J64+J63+J62+J61+J60+J59+J58+J57+J56+J55+J54+J53+J52+J51+J50+J49+J48+J47+J46+J45+J44+J43+J42+J41+J40+J39+J38+J37+J36+J35+J34+J33+J32+J31+J30+J29+J28+J27+J26+J25+J24+J23+J22+J21+J20+J19+J18+J17+J16+J15+J14+J13+J12+J11+J10</f>
        <v>34526708.260000005</v>
      </c>
      <c r="K73" s="878">
        <f t="shared" si="7"/>
        <v>1038657</v>
      </c>
      <c r="L73" s="878">
        <f t="shared" si="7"/>
        <v>7815090.8300000001</v>
      </c>
      <c r="M73" s="880"/>
      <c r="N73" s="881"/>
    </row>
    <row r="74" spans="1:75" ht="20.25" customHeight="1">
      <c r="A74" s="1245"/>
      <c r="B74" s="1245"/>
      <c r="C74" s="1245"/>
      <c r="D74" s="1245"/>
      <c r="E74" s="1245"/>
      <c r="F74" s="1245"/>
      <c r="G74" s="1245"/>
      <c r="H74" s="1245"/>
      <c r="I74" s="1245"/>
      <c r="J74" s="1245"/>
      <c r="K74" s="1245"/>
      <c r="L74" s="1245"/>
      <c r="M74" s="1245"/>
      <c r="N74" s="1245"/>
    </row>
    <row r="75" spans="1:75" ht="15.75" customHeight="1">
      <c r="A75" s="1245"/>
      <c r="B75" s="1245"/>
      <c r="C75" s="1245"/>
      <c r="D75" s="1245"/>
      <c r="E75" s="1245"/>
      <c r="F75" s="1245"/>
      <c r="G75" s="1245"/>
      <c r="H75" s="1245"/>
      <c r="I75" s="1245"/>
      <c r="J75" s="884"/>
      <c r="K75" s="19"/>
      <c r="L75" s="885"/>
      <c r="M75" s="884"/>
      <c r="N75" s="884"/>
    </row>
    <row r="76" spans="1:75" ht="15.75" customHeight="1">
      <c r="A76" s="1245"/>
      <c r="B76" s="1245"/>
      <c r="C76" s="1245"/>
      <c r="D76" s="1245"/>
      <c r="E76" s="1245"/>
      <c r="F76" s="1245"/>
      <c r="G76" s="1245"/>
      <c r="H76" s="1245"/>
      <c r="I76" s="1245"/>
      <c r="J76" s="884"/>
      <c r="K76" s="19"/>
      <c r="L76" s="885"/>
      <c r="M76" s="884"/>
      <c r="N76" s="884"/>
    </row>
    <row r="77" spans="1:75">
      <c r="A77" s="462"/>
      <c r="B77" s="463"/>
      <c r="C77" s="463"/>
      <c r="D77" s="462"/>
      <c r="E77" s="462"/>
      <c r="F77" s="462"/>
      <c r="G77" s="462"/>
      <c r="H77" s="877"/>
      <c r="I77" s="878"/>
      <c r="J77" s="878"/>
      <c r="K77" s="878"/>
      <c r="L77" s="878"/>
      <c r="M77" s="462"/>
      <c r="N77" s="462"/>
    </row>
    <row r="78" spans="1:75" ht="18.75">
      <c r="A78" s="462"/>
      <c r="B78" s="463"/>
      <c r="C78" s="463"/>
      <c r="D78" s="462"/>
      <c r="E78" s="462"/>
      <c r="F78" s="462"/>
      <c r="G78" s="886"/>
      <c r="H78" s="877"/>
      <c r="I78" s="878"/>
      <c r="J78" s="878"/>
      <c r="K78" s="878"/>
      <c r="L78" s="878"/>
      <c r="M78" s="888"/>
      <c r="N78" s="462"/>
    </row>
    <row r="79" spans="1:75" ht="18.75">
      <c r="A79" s="889"/>
      <c r="B79" s="890"/>
      <c r="C79" s="890"/>
      <c r="D79" s="490"/>
      <c r="E79" s="891"/>
      <c r="F79" s="891"/>
      <c r="G79" s="490"/>
      <c r="H79" s="892"/>
      <c r="I79" s="893"/>
      <c r="J79" s="893"/>
      <c r="K79" s="887"/>
      <c r="L79" s="478"/>
      <c r="M79" s="726"/>
      <c r="N79" s="477"/>
      <c r="O79" s="477"/>
      <c r="P79" s="1181"/>
      <c r="Q79" s="1181"/>
      <c r="R79" s="1181"/>
      <c r="S79" s="1181"/>
      <c r="T79" s="1181"/>
      <c r="U79" s="1181"/>
      <c r="V79" s="1181"/>
      <c r="W79" s="1181"/>
      <c r="X79" s="1181"/>
      <c r="Y79" s="1181"/>
      <c r="Z79" s="1181"/>
      <c r="AA79" s="1181"/>
      <c r="AB79" s="1181"/>
      <c r="AC79" s="1181"/>
      <c r="AD79" s="1181"/>
      <c r="AE79" s="1181"/>
      <c r="AF79" s="1181"/>
      <c r="AG79" s="1181"/>
      <c r="AH79" s="1181"/>
      <c r="AI79" s="1181"/>
      <c r="AJ79" s="1181"/>
      <c r="AK79" s="1181"/>
      <c r="AL79" s="1181"/>
      <c r="AM79" s="1181"/>
      <c r="AN79" s="1181"/>
      <c r="AO79" s="1181"/>
    </row>
    <row r="80" spans="1:75" ht="18.75">
      <c r="A80" s="889"/>
      <c r="B80" s="894"/>
      <c r="C80" s="894"/>
      <c r="D80" s="895"/>
      <c r="E80" s="490"/>
      <c r="F80" s="490"/>
      <c r="G80" s="895"/>
      <c r="H80" s="893"/>
      <c r="I80" s="893"/>
      <c r="J80" s="893"/>
      <c r="K80" s="896"/>
      <c r="L80" s="478"/>
      <c r="M80" s="726"/>
      <c r="N80" s="477"/>
      <c r="O80" s="477"/>
      <c r="P80" s="1181"/>
      <c r="Q80" s="1181"/>
      <c r="R80" s="1181"/>
      <c r="S80" s="1181"/>
      <c r="T80" s="1181"/>
      <c r="U80" s="1181"/>
      <c r="V80" s="1181"/>
      <c r="W80" s="1181"/>
      <c r="X80" s="1181"/>
      <c r="Y80" s="1181"/>
      <c r="Z80" s="1181"/>
      <c r="AA80" s="1181"/>
      <c r="AB80" s="1181"/>
      <c r="AC80" s="1181"/>
      <c r="AD80" s="1181"/>
      <c r="AE80" s="1181"/>
      <c r="AF80" s="1181"/>
      <c r="AG80" s="1181"/>
      <c r="AH80" s="1181"/>
      <c r="AI80" s="1181"/>
      <c r="AJ80" s="1181"/>
      <c r="AK80" s="1181"/>
      <c r="AL80" s="1181"/>
      <c r="AM80" s="1181"/>
      <c r="AN80" s="1181"/>
      <c r="AO80" s="1181"/>
    </row>
    <row r="81" spans="1:75" ht="18.75">
      <c r="A81" s="889"/>
      <c r="B81" s="894"/>
      <c r="C81" s="894"/>
      <c r="D81" s="895"/>
      <c r="E81" s="490"/>
      <c r="F81" s="490"/>
      <c r="G81" s="895"/>
      <c r="H81" s="893"/>
      <c r="I81" s="893"/>
      <c r="J81" s="893"/>
      <c r="K81" s="896"/>
      <c r="L81" s="478"/>
      <c r="M81" s="897"/>
      <c r="N81" s="477"/>
      <c r="O81" s="477"/>
      <c r="P81" s="1181"/>
      <c r="Q81" s="1181"/>
      <c r="R81" s="1181"/>
      <c r="S81" s="1181"/>
      <c r="T81" s="1181"/>
      <c r="U81" s="1181"/>
      <c r="V81" s="1181"/>
      <c r="W81" s="1181"/>
      <c r="X81" s="1181"/>
      <c r="Y81" s="1181"/>
      <c r="Z81" s="1181"/>
      <c r="AA81" s="1181"/>
      <c r="AB81" s="1181"/>
      <c r="AC81" s="1181"/>
      <c r="AD81" s="1181"/>
      <c r="AE81" s="1181"/>
      <c r="AF81" s="1181"/>
      <c r="AG81" s="1181"/>
      <c r="AH81" s="1181"/>
      <c r="AI81" s="1181"/>
      <c r="AJ81" s="1181"/>
      <c r="AK81" s="1181"/>
      <c r="AL81" s="1181"/>
      <c r="AM81" s="1181"/>
      <c r="AN81" s="1181"/>
      <c r="AO81" s="1181"/>
    </row>
    <row r="82" spans="1:75" ht="18.75">
      <c r="A82" s="889"/>
      <c r="B82" s="894"/>
      <c r="C82" s="894"/>
      <c r="D82" s="895"/>
      <c r="E82" s="490"/>
      <c r="F82" s="490"/>
      <c r="G82" s="895"/>
      <c r="H82" s="893"/>
      <c r="I82" s="893"/>
      <c r="J82" s="893"/>
      <c r="K82" s="896"/>
      <c r="L82" s="478"/>
      <c r="M82" s="897"/>
      <c r="N82" s="477"/>
      <c r="O82" s="477"/>
      <c r="P82" s="1181"/>
      <c r="Q82" s="1181"/>
      <c r="R82" s="1181"/>
      <c r="S82" s="1181"/>
      <c r="T82" s="1181"/>
      <c r="U82" s="1181"/>
      <c r="V82" s="1181"/>
      <c r="W82" s="1181"/>
      <c r="X82" s="1181"/>
      <c r="Y82" s="1181"/>
      <c r="Z82" s="1181"/>
      <c r="AA82" s="1181"/>
      <c r="AB82" s="1181"/>
      <c r="AC82" s="1181"/>
      <c r="AD82" s="1181"/>
      <c r="AE82" s="1181"/>
      <c r="AF82" s="1181"/>
      <c r="AG82" s="1181"/>
      <c r="AH82" s="1181"/>
      <c r="AI82" s="1181"/>
      <c r="AJ82" s="1181"/>
      <c r="AK82" s="1181"/>
      <c r="AL82" s="1181"/>
      <c r="AM82" s="1181"/>
      <c r="AN82" s="1181"/>
      <c r="AO82" s="1181"/>
    </row>
    <row r="83" spans="1:75" ht="18.75">
      <c r="A83" s="889"/>
      <c r="B83" s="894"/>
      <c r="C83" s="894"/>
      <c r="D83" s="895"/>
      <c r="E83" s="490"/>
      <c r="F83" s="490"/>
      <c r="G83" s="895"/>
      <c r="H83" s="889"/>
      <c r="I83" s="893"/>
      <c r="J83" s="893"/>
      <c r="K83" s="896"/>
      <c r="L83" s="478"/>
      <c r="M83" s="898"/>
      <c r="N83" s="484"/>
    </row>
    <row r="84" spans="1:75">
      <c r="A84" s="889"/>
      <c r="B84" s="899"/>
      <c r="C84" s="900"/>
      <c r="D84" s="901"/>
      <c r="E84" s="900"/>
      <c r="F84" s="900"/>
      <c r="G84" s="902"/>
      <c r="H84" s="903"/>
      <c r="I84" s="904"/>
      <c r="J84" s="905"/>
      <c r="K84" s="905"/>
      <c r="L84" s="905"/>
      <c r="M84" s="905"/>
      <c r="N84" s="901"/>
      <c r="O84" s="855"/>
      <c r="P84" s="1182"/>
    </row>
    <row r="85" spans="1:75" ht="18.75">
      <c r="A85" s="889"/>
      <c r="B85" s="907"/>
      <c r="C85" s="907"/>
      <c r="D85" s="908"/>
      <c r="E85" s="908"/>
      <c r="F85" s="909"/>
      <c r="G85" s="910"/>
      <c r="H85" s="906"/>
      <c r="I85" s="911"/>
      <c r="J85" s="908"/>
      <c r="K85" s="912"/>
      <c r="L85" s="913"/>
      <c r="M85" s="912"/>
      <c r="N85" s="907"/>
      <c r="P85" s="1182"/>
    </row>
    <row r="86" spans="1:75" s="246" customFormat="1" ht="18.75">
      <c r="A86" s="889"/>
      <c r="B86" s="472"/>
      <c r="C86" s="472"/>
      <c r="D86" s="914"/>
      <c r="E86" s="914"/>
      <c r="F86" s="490"/>
      <c r="G86" s="895"/>
      <c r="I86" s="915"/>
      <c r="J86" s="914"/>
      <c r="K86" s="726"/>
      <c r="L86" s="488"/>
      <c r="M86" s="726"/>
      <c r="N86" s="484"/>
      <c r="P86" s="1170"/>
      <c r="Q86" s="1170"/>
      <c r="R86" s="1170"/>
      <c r="S86" s="1170"/>
      <c r="T86" s="1170"/>
      <c r="U86" s="1170"/>
      <c r="V86" s="1170"/>
      <c r="W86" s="1170"/>
      <c r="X86" s="1170"/>
      <c r="Y86" s="1170"/>
      <c r="Z86" s="1170"/>
      <c r="AA86" s="1170"/>
      <c r="AB86" s="1170"/>
      <c r="AC86" s="1170"/>
      <c r="AD86" s="1170"/>
      <c r="AE86" s="1170"/>
      <c r="AF86" s="1170"/>
      <c r="AG86" s="1170"/>
      <c r="AH86" s="1170"/>
      <c r="AI86" s="1170"/>
      <c r="AJ86" s="1170"/>
      <c r="AK86" s="1170"/>
      <c r="AL86" s="1170"/>
      <c r="AM86" s="1170"/>
      <c r="AN86" s="1170"/>
      <c r="AO86" s="1170"/>
      <c r="AP86" s="1170"/>
      <c r="AQ86" s="1170"/>
      <c r="AR86" s="1170"/>
      <c r="AS86" s="1170"/>
      <c r="AT86" s="1170"/>
      <c r="AU86" s="1170"/>
      <c r="AV86" s="1170"/>
      <c r="AW86" s="1170"/>
      <c r="AX86" s="1170"/>
      <c r="AY86" s="1170"/>
      <c r="AZ86" s="1170"/>
      <c r="BA86" s="1170"/>
      <c r="BB86" s="1170"/>
      <c r="BC86" s="1170"/>
      <c r="BD86" s="1170"/>
      <c r="BE86" s="1170"/>
      <c r="BF86" s="1170"/>
      <c r="BG86" s="1170"/>
      <c r="BH86" s="1170"/>
      <c r="BI86" s="1170"/>
      <c r="BJ86" s="1170"/>
      <c r="BK86" s="1170"/>
      <c r="BL86" s="1170"/>
      <c r="BM86" s="1170"/>
      <c r="BN86" s="1170"/>
      <c r="BO86" s="1170"/>
      <c r="BP86" s="1170"/>
      <c r="BQ86" s="1170"/>
      <c r="BR86" s="1170"/>
      <c r="BS86" s="1170"/>
      <c r="BT86" s="1170"/>
      <c r="BU86" s="1170"/>
      <c r="BV86" s="1170"/>
      <c r="BW86" s="1170"/>
    </row>
    <row r="87" spans="1:75" ht="18.75">
      <c r="B87" s="894"/>
      <c r="C87" s="894"/>
      <c r="D87" s="895"/>
      <c r="E87" s="895"/>
      <c r="F87" s="490"/>
      <c r="G87" s="895"/>
      <c r="H87" s="893"/>
      <c r="I87" s="893"/>
      <c r="J87" s="893"/>
      <c r="K87" s="896"/>
      <c r="L87" s="487"/>
      <c r="M87" s="898"/>
      <c r="N87" s="484"/>
    </row>
    <row r="88" spans="1:75" ht="18.75">
      <c r="B88" s="894"/>
      <c r="C88" s="894"/>
      <c r="D88" s="895"/>
      <c r="E88" s="895"/>
      <c r="F88" s="490"/>
      <c r="G88" s="914"/>
      <c r="H88" s="472"/>
      <c r="I88" s="501"/>
      <c r="J88" s="501"/>
      <c r="K88" s="896"/>
      <c r="L88" s="478"/>
      <c r="M88" s="898"/>
      <c r="N88" s="484"/>
    </row>
    <row r="89" spans="1:75" ht="18.75">
      <c r="B89" s="894"/>
      <c r="C89" s="894"/>
      <c r="D89" s="895"/>
      <c r="E89" s="895"/>
      <c r="F89" s="490"/>
      <c r="G89" s="914"/>
      <c r="H89" s="472"/>
      <c r="I89" s="501"/>
      <c r="J89" s="501"/>
      <c r="K89" s="896"/>
      <c r="L89" s="478"/>
      <c r="M89" s="916"/>
    </row>
    <row r="90" spans="1:75" ht="18.75">
      <c r="B90" s="894"/>
      <c r="C90" s="894"/>
      <c r="D90" s="895"/>
      <c r="E90" s="895"/>
      <c r="F90" s="490"/>
      <c r="G90" s="914"/>
      <c r="H90" s="472"/>
      <c r="I90" s="501"/>
      <c r="J90" s="501"/>
      <c r="K90" s="896"/>
      <c r="L90" s="499"/>
      <c r="M90" s="726"/>
    </row>
    <row r="91" spans="1:75" ht="18.75">
      <c r="B91" s="894"/>
      <c r="C91" s="894"/>
      <c r="D91" s="895"/>
      <c r="E91" s="895"/>
      <c r="F91" s="490"/>
      <c r="G91" s="917"/>
      <c r="H91" s="918"/>
      <c r="I91" s="918"/>
      <c r="J91" s="893"/>
      <c r="K91" s="919"/>
      <c r="L91" s="499"/>
      <c r="M91" s="726"/>
    </row>
    <row r="92" spans="1:75" ht="18.75">
      <c r="B92" s="894"/>
      <c r="C92" s="894"/>
      <c r="D92" s="895"/>
      <c r="E92" s="895"/>
      <c r="F92" s="490"/>
      <c r="G92" s="917"/>
      <c r="H92" s="918"/>
      <c r="I92" s="918"/>
      <c r="J92" s="893"/>
      <c r="K92" s="919"/>
      <c r="L92" s="499"/>
      <c r="M92" s="916"/>
    </row>
    <row r="93" spans="1:75" ht="18.75">
      <c r="B93" s="894"/>
      <c r="C93" s="894"/>
      <c r="D93" s="895"/>
      <c r="E93" s="895"/>
      <c r="F93" s="490"/>
      <c r="G93" s="917"/>
      <c r="H93" s="918"/>
      <c r="I93" s="918"/>
      <c r="J93" s="893"/>
      <c r="K93" s="919"/>
      <c r="L93" s="499"/>
      <c r="M93" s="916"/>
    </row>
    <row r="94" spans="1:75" ht="18.75">
      <c r="B94" s="894"/>
      <c r="C94" s="894"/>
      <c r="D94" s="895"/>
      <c r="E94" s="895"/>
      <c r="F94" s="490"/>
      <c r="G94" s="917"/>
      <c r="H94" s="918"/>
      <c r="I94" s="918"/>
      <c r="J94" s="893"/>
      <c r="K94" s="919"/>
      <c r="L94" s="499"/>
      <c r="M94" s="916"/>
    </row>
    <row r="95" spans="1:75" ht="18.75">
      <c r="K95" s="920"/>
      <c r="L95" s="499"/>
      <c r="M95" s="921"/>
    </row>
    <row r="96" spans="1:75" ht="18.75">
      <c r="K96" s="920"/>
      <c r="L96" s="499"/>
      <c r="M96" s="921"/>
    </row>
    <row r="97" spans="12:13">
      <c r="L97" s="915"/>
      <c r="M97" s="895"/>
    </row>
    <row r="98" spans="12:13">
      <c r="L98" s="915"/>
    </row>
  </sheetData>
  <autoFilter ref="A7:AMJ70"/>
  <mergeCells count="4">
    <mergeCell ref="A4:N4"/>
    <mergeCell ref="A74:N74"/>
    <mergeCell ref="A75:I75"/>
    <mergeCell ref="A76:I76"/>
  </mergeCells>
  <pageMargins left="0.25" right="0.25" top="0.75" bottom="0.63" header="0.511811023622047" footer="0.38"/>
  <pageSetup paperSize="8" scale="83" orientation="landscape" r:id="rId1"/>
  <rowBreaks count="7" manualBreakCount="7">
    <brk id="14" max="13" man="1"/>
    <brk id="20" max="13" man="1"/>
    <brk id="28" max="13" man="1"/>
    <brk id="37" max="13" man="1"/>
    <brk id="45" max="13" man="1"/>
    <brk id="55" max="13" man="1"/>
    <brk id="63" max="13" man="1"/>
  </rowBreaks>
  <legacyDrawing r:id="rId2"/>
</worksheet>
</file>

<file path=docProps/app.xml><?xml version="1.0" encoding="utf-8"?>
<Properties xmlns="http://schemas.openxmlformats.org/officeDocument/2006/extended-properties" xmlns:vt="http://schemas.openxmlformats.org/officeDocument/2006/docPropsVTypes">
  <Template/>
  <TotalTime>1483</TotalTime>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anexa fara 100%</vt:lpstr>
      <vt:lpstr>anexa_ordonata_fara_100%</vt:lpstr>
      <vt:lpstr>100%</vt:lpstr>
      <vt:lpstr>anexa 100% MTI</vt:lpstr>
      <vt:lpstr>'100%'!Print_Area</vt:lpstr>
      <vt:lpstr>'anexa 100% MTI'!Print_Area</vt:lpstr>
      <vt:lpstr>'anexa fara 100%'!Print_Area</vt:lpstr>
      <vt:lpstr>'anexa_ordonata_fara_100%'!Print_Area</vt:lpstr>
      <vt:lpstr>'100%'!Print_Titles</vt:lpstr>
      <vt:lpstr>'anexa 100% MTI'!Print_Titles</vt:lpstr>
      <vt:lpstr>'anexa fara 100%'!Print_Titles</vt:lpstr>
      <vt:lpstr>'anexa_ordonata_fara_100%'!Print_Titles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Maria Șerban</dc:creator>
  <dc:description/>
  <cp:lastModifiedBy>RALUCA-ELENA ENACHE</cp:lastModifiedBy>
  <cp:revision>419</cp:revision>
  <cp:lastPrinted>2024-10-24T11:00:22Z</cp:lastPrinted>
  <dcterms:created xsi:type="dcterms:W3CDTF">2009-04-16T08:32:48Z</dcterms:created>
  <dcterms:modified xsi:type="dcterms:W3CDTF">2024-10-24T11:43:39Z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