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firstSheet="1" activeTab="1"/>
  </bookViews>
  <sheets>
    <sheet name="sdp iul-dec 2016 ro" sheetId="1" state="hidden" r:id="rId1"/>
    <sheet name="sdp 2018Trim ro" sheetId="2" r:id="rId2"/>
    <sheet name="sdp 2018 Trim eng" sheetId="3" r:id="rId3"/>
    <sheet name="sdp 2018" sheetId="4" r:id="rId4"/>
    <sheet name="detaliat extern" sheetId="5" r:id="rId5"/>
    <sheet name="detaliat intern" sheetId="6" r:id="rId6"/>
  </sheets>
  <externalReferences>
    <externalReference r:id="rId9"/>
  </externalReferences>
  <definedNames>
    <definedName name="_xlnm.Print_Area" localSheetId="4">'detaliat extern'!$A$1:$P$37</definedName>
    <definedName name="_xlnm.Print_Area" localSheetId="3">'sdp 2018'!$A$1:$N$36</definedName>
    <definedName name="_xlnm.Print_Area" localSheetId="2">'sdp 2018 Trim eng'!$A$1:$K$17</definedName>
    <definedName name="_xlnm.Print_Area" localSheetId="1">'sdp 2018Trim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<sst xmlns="http://schemas.openxmlformats.org/spreadsheetml/2006/main" count="324" uniqueCount="169">
  <si>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</si>
  <si>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</si>
  <si>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</si>
  <si>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</si>
  <si>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</si>
  <si>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</si>
  <si>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</si>
  <si>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</si>
  <si>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</si>
  <si>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</si>
  <si>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</si>
  <si>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</si>
  <si>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</si>
  <si>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</si>
  <si>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</si>
  <si>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</si>
  <si>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</si>
  <si>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</si>
  <si>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</si>
  <si>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</si>
  <si>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</si>
  <si>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</si>
  <si>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</si>
  <si>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</si>
  <si>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</si>
  <si>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</si>
  <si>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</si>
  <si>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</si>
  <si>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</si>
  <si>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</si>
  <si>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</si>
  <si>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</si>
  <si>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</si>
  <si>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</si>
  <si>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</si>
  <si>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</si>
  <si>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</si>
  <si>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</si>
  <si>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</si>
  <si>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</si>
  <si>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</si>
  <si>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</si>
  <si>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</si>
  <si>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</si>
  <si>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</si>
  <si>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</si>
  <si>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</si>
  <si>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nov(est)</t>
  </si>
  <si>
    <t>dec(est)</t>
  </si>
  <si>
    <t>datoria pub ext guvernamentala</t>
  </si>
  <si>
    <t>rate de capital</t>
  </si>
  <si>
    <t>dobanzi si comisioane</t>
  </si>
  <si>
    <t xml:space="preserve">emisiuni </t>
  </si>
  <si>
    <t>WB</t>
  </si>
  <si>
    <t>Directa:</t>
  </si>
  <si>
    <t>Tiitluri de stat-&gt;</t>
  </si>
  <si>
    <t>(include plasament,CT si OB in Eur )</t>
  </si>
  <si>
    <t xml:space="preserve">populația </t>
  </si>
  <si>
    <t>SNN -&gt;</t>
  </si>
  <si>
    <t>SRI -&gt;</t>
  </si>
  <si>
    <t>Paroseni</t>
  </si>
  <si>
    <t>Leasing intern</t>
  </si>
  <si>
    <t xml:space="preserve">Finantare temporara </t>
  </si>
  <si>
    <t>dobanzi</t>
  </si>
  <si>
    <t>conventii atragere depozite</t>
  </si>
  <si>
    <t>TOTAL rate de cap</t>
  </si>
  <si>
    <t>TOTAL dob si com</t>
  </si>
  <si>
    <t>TOTAL DIRECTA</t>
  </si>
  <si>
    <t>Garantata:</t>
  </si>
  <si>
    <t>legi speciale -&gt;</t>
  </si>
  <si>
    <t>imprumuturi de iarna -&gt;</t>
  </si>
  <si>
    <t>(CET-urile)+electrocentrale Bucuresti</t>
  </si>
  <si>
    <t>Prima casa si alte gar</t>
  </si>
  <si>
    <t>TOTAL GARANTATA</t>
  </si>
  <si>
    <t>TOTAL RATE DE CAP</t>
  </si>
  <si>
    <t>TOTAL DOB SI COMIS</t>
  </si>
  <si>
    <t>Total debt service 2016</t>
  </si>
  <si>
    <t>mar(est)</t>
  </si>
  <si>
    <t>apr(est)</t>
  </si>
  <si>
    <t>may(est)</t>
  </si>
  <si>
    <t>jun(est)</t>
  </si>
  <si>
    <t>jul(est)</t>
  </si>
  <si>
    <t>aug(est)</t>
  </si>
  <si>
    <t>sep(est)</t>
  </si>
  <si>
    <t>oct(est)</t>
  </si>
  <si>
    <t>jan (act)</t>
  </si>
  <si>
    <t>feb(act)</t>
  </si>
  <si>
    <r>
      <t xml:space="preserve">dat pub ext guv </t>
    </r>
    <r>
      <rPr>
        <b/>
        <sz val="10"/>
        <rFont val="Arial"/>
        <family val="2"/>
      </rPr>
      <t>directa</t>
    </r>
  </si>
  <si>
    <r>
      <t xml:space="preserve">dat pub ext guv </t>
    </r>
    <r>
      <rPr>
        <b/>
        <sz val="10"/>
        <rFont val="Arial"/>
        <family val="2"/>
      </rPr>
      <t>garantata</t>
    </r>
  </si>
  <si>
    <t>mil euro</t>
  </si>
  <si>
    <t>Q1</t>
  </si>
  <si>
    <t xml:space="preserve">Q3 </t>
  </si>
  <si>
    <t>Q4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</si>
  <si>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</si>
  <si>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</si>
  <si>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</si>
  <si>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</si>
  <si>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</si>
  <si>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</si>
  <si>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</si>
  <si>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</si>
  <si>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</si>
  <si>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</si>
  <si>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</si>
  <si>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</si>
  <si>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</si>
  <si>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</si>
  <si>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</si>
  <si>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</si>
  <si>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Lei</t>
  </si>
  <si>
    <t>EURO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</si>
  <si>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</si>
  <si>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</si>
  <si>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</si>
  <si>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</si>
  <si>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</si>
  <si>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</si>
  <si>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</si>
  <si>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</si>
  <si>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</si>
  <si>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</si>
  <si>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</si>
  <si>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</si>
  <si>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</si>
  <si>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</si>
  <si>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</si>
  <si>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</si>
  <si>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</si>
  <si>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</si>
  <si>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</si>
  <si>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</si>
  <si>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</si>
  <si>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</si>
  <si>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</t>
  </si>
  <si>
    <t>Serviciul datoriei publice guvernamentale*)</t>
  </si>
  <si>
    <t>Government public debt service *)</t>
  </si>
  <si>
    <t>Serviciul datoriei publice guvernamentale (I+II)                                   (mil Lei)</t>
  </si>
  <si>
    <t xml:space="preserve">  - rate de capital   (mil lei)</t>
  </si>
  <si>
    <t xml:space="preserve">  -  dobanzi si comisioane (mil lei)</t>
  </si>
  <si>
    <t xml:space="preserve"> - serviciul datoriei publice guvernamentale directe</t>
  </si>
  <si>
    <t xml:space="preserve"> - serviciul datoriei publice guvernamentale garantate</t>
  </si>
  <si>
    <t>Serviciul datoriei publice guvernamentale interne (mil EURO)</t>
  </si>
  <si>
    <t xml:space="preserve"> -Serviciul datoriei publice guvernamentale externe directe</t>
  </si>
  <si>
    <t xml:space="preserve"> -Serviciul datoriei publice guvernamentale externe garantate</t>
  </si>
  <si>
    <t xml:space="preserve"> - Serviciul datoriei publice guvernamentale interne directe</t>
  </si>
  <si>
    <t xml:space="preserve"> - Serviciul datoriei publice guvernamentale interne garantate</t>
  </si>
  <si>
    <t xml:space="preserve">din care refinantari de titluri de stat </t>
  </si>
  <si>
    <t>din care refinantari Euroobligatiuni</t>
  </si>
  <si>
    <t xml:space="preserve">   -dobanzi si comisioane</t>
  </si>
  <si>
    <t>Total  2018</t>
  </si>
  <si>
    <t>Q2 (est)</t>
  </si>
  <si>
    <t>Q3 (est)</t>
  </si>
  <si>
    <t>Trim III (est)</t>
  </si>
  <si>
    <t>Total debt service 2018</t>
  </si>
  <si>
    <t>Trim I (date operative)</t>
  </si>
  <si>
    <t>Trim II (date operative)</t>
  </si>
  <si>
    <t>Total  2017**</t>
  </si>
  <si>
    <t xml:space="preserve">Q2 </t>
  </si>
  <si>
    <t>Criteriul rezidentei</t>
  </si>
  <si>
    <t>ajustari rezidenti nerezidenti mil EURO</t>
  </si>
  <si>
    <t>rate titluri crit rezidentei</t>
  </si>
  <si>
    <t>dob titluri crit rezidentei</t>
  </si>
  <si>
    <t xml:space="preserve">Q1 </t>
  </si>
  <si>
    <t>*) proiectie pe baza cursului de schimb valutar valabil la data de 30.06.2018</t>
  </si>
  <si>
    <t>*) proiectie pe baza cursului de schimb valutar mediu comunicat pe anul 2018, cf CNSP Prognoza intermediara de vara, iulie 2018</t>
  </si>
  <si>
    <t xml:space="preserve"> *) proiectia serviciului datoriei publice guvernamentale pentru perioada iulie - decembrie 2018 ia in considerare datele transmise de BNR cu privire la tranzactiile dupa rezidenta creditorului</t>
  </si>
  <si>
    <t>* according with NBR data regarding the transactions after de creditors residence for the period July - December 2018</t>
  </si>
  <si>
    <t>Nota: Proiectie pe baza cursurilor de schimb valutar valabile la 30-iunie-2018</t>
  </si>
  <si>
    <t>curs de schimb Lei/EURO (cf Prognoza iulie 2018)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</si>
</sst>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79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5" fillId="0" borderId="14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6" borderId="0" xfId="0" applyFont="1" applyFill="1" applyAlignment="1">
      <alignment/>
    </xf>
    <xf numFmtId="164" fontId="0" fillId="36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0" fontId="0" fillId="0" borderId="0" xfId="0" applyFill="1" applyAlignment="1">
      <alignment/>
    </xf>
    <xf numFmtId="0" fontId="0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64" fontId="0" fillId="36" borderId="0" xfId="0" applyNumberFormat="1" applyFill="1" applyAlignment="1">
      <alignment/>
    </xf>
    <xf numFmtId="164" fontId="15" fillId="36" borderId="0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9" fontId="14" fillId="35" borderId="15" xfId="0" applyNumberFormat="1" applyFont="1" applyFill="1" applyBorder="1" applyAlignment="1">
      <alignment horizontal="center"/>
    </xf>
    <xf numFmtId="0" fontId="14" fillId="35" borderId="15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5" fillId="0" borderId="16" xfId="0" applyNumberFormat="1" applyFont="1" applyFill="1" applyBorder="1" applyAlignment="1">
      <alignment/>
    </xf>
    <xf numFmtId="164" fontId="14" fillId="35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164" fontId="15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34" borderId="16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14" fillId="35" borderId="17" xfId="0" applyNumberFormat="1" applyFon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4" fillId="35" borderId="0" xfId="0" applyNumberFormat="1" applyFont="1" applyFill="1" applyBorder="1" applyAlignment="1">
      <alignment/>
    </xf>
    <xf numFmtId="4" fontId="14" fillId="35" borderId="23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4" fillId="35" borderId="24" xfId="0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4" fontId="14" fillId="34" borderId="27" xfId="0" applyNumberFormat="1" applyFont="1" applyFill="1" applyBorder="1" applyAlignment="1">
      <alignment/>
    </xf>
    <xf numFmtId="4" fontId="14" fillId="34" borderId="28" xfId="0" applyNumberFormat="1" applyFont="1" applyFill="1" applyBorder="1" applyAlignment="1">
      <alignment/>
    </xf>
    <xf numFmtId="4" fontId="14" fillId="34" borderId="29" xfId="0" applyNumberFormat="1" applyFont="1" applyFill="1" applyBorder="1" applyAlignment="1">
      <alignment/>
    </xf>
    <xf numFmtId="4" fontId="14" fillId="33" borderId="17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4" fontId="14" fillId="35" borderId="30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6" fillId="34" borderId="27" xfId="0" applyNumberFormat="1" applyFont="1" applyFill="1" applyBorder="1" applyAlignment="1">
      <alignment/>
    </xf>
    <xf numFmtId="4" fontId="14" fillId="35" borderId="32" xfId="0" applyNumberFormat="1" applyFont="1" applyFill="1" applyBorder="1" applyAlignment="1">
      <alignment/>
    </xf>
    <xf numFmtId="4" fontId="0" fillId="34" borderId="33" xfId="0" applyNumberFormat="1" applyFill="1" applyBorder="1" applyAlignment="1">
      <alignment/>
    </xf>
    <xf numFmtId="4" fontId="14" fillId="35" borderId="34" xfId="0" applyNumberFormat="1" applyFont="1" applyFill="1" applyBorder="1" applyAlignment="1">
      <alignment/>
    </xf>
    <xf numFmtId="4" fontId="0" fillId="34" borderId="35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36" xfId="0" applyNumberFormat="1" applyFill="1" applyBorder="1" applyAlignment="1">
      <alignment/>
    </xf>
    <xf numFmtId="4" fontId="14" fillId="34" borderId="19" xfId="0" applyNumberFormat="1" applyFont="1" applyFill="1" applyBorder="1" applyAlignment="1">
      <alignment/>
    </xf>
    <xf numFmtId="4" fontId="14" fillId="34" borderId="21" xfId="0" applyNumberFormat="1" applyFont="1" applyFill="1" applyBorder="1" applyAlignment="1">
      <alignment/>
    </xf>
    <xf numFmtId="4" fontId="14" fillId="34" borderId="22" xfId="0" applyNumberFormat="1" applyFont="1" applyFill="1" applyBorder="1" applyAlignment="1">
      <alignment/>
    </xf>
    <xf numFmtId="0" fontId="14" fillId="35" borderId="37" xfId="0" applyFont="1" applyFill="1" applyBorder="1" applyAlignment="1">
      <alignment/>
    </xf>
    <xf numFmtId="4" fontId="14" fillId="35" borderId="26" xfId="0" applyNumberFormat="1" applyFont="1" applyFill="1" applyBorder="1" applyAlignment="1">
      <alignment/>
    </xf>
    <xf numFmtId="4" fontId="14" fillId="35" borderId="38" xfId="0" applyNumberFormat="1" applyFont="1" applyFill="1" applyBorder="1" applyAlignment="1">
      <alignment/>
    </xf>
    <xf numFmtId="4" fontId="14" fillId="35" borderId="24" xfId="0" applyNumberFormat="1" applyFont="1" applyFill="1" applyBorder="1" applyAlignment="1">
      <alignment/>
    </xf>
    <xf numFmtId="4" fontId="14" fillId="35" borderId="37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164" fontId="70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4" fillId="36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71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164" fontId="9" fillId="0" borderId="39" xfId="0" applyNumberFormat="1" applyFont="1" applyBorder="1" applyAlignment="1">
      <alignment vertical="center"/>
    </xf>
    <xf numFmtId="164" fontId="0" fillId="0" borderId="0" xfId="0" applyNumberFormat="1" applyFill="1" applyAlignment="1">
      <alignment/>
    </xf>
    <xf numFmtId="0" fontId="8" fillId="0" borderId="0" xfId="0" applyFont="1" applyBorder="1" applyAlignment="1">
      <alignment wrapText="1"/>
    </xf>
    <xf numFmtId="0" fontId="1" fillId="38" borderId="40" xfId="0" applyNumberFormat="1" applyFont="1" applyFill="1" applyBorder="1" applyAlignment="1">
      <alignment horizontal="center" vertical="center" wrapText="1"/>
    </xf>
    <xf numFmtId="172" fontId="1" fillId="38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left" vertical="top" wrapText="1"/>
    </xf>
    <xf numFmtId="164" fontId="1" fillId="0" borderId="42" xfId="0" applyNumberFormat="1" applyFont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3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0" fontId="1" fillId="33" borderId="45" xfId="0" applyNumberFormat="1" applyFont="1" applyFill="1" applyBorder="1" applyAlignment="1">
      <alignment horizontal="right" vertical="center" wrapText="1"/>
    </xf>
    <xf numFmtId="164" fontId="1" fillId="33" borderId="46" xfId="0" applyNumberFormat="1" applyFont="1" applyFill="1" applyBorder="1" applyAlignment="1">
      <alignment/>
    </xf>
    <xf numFmtId="0" fontId="4" fillId="0" borderId="47" xfId="0" applyNumberFormat="1" applyFont="1" applyFill="1" applyBorder="1" applyAlignment="1">
      <alignment vertical="top" wrapText="1"/>
    </xf>
    <xf numFmtId="164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 horizontal="left" vertical="top" wrapText="1"/>
    </xf>
    <xf numFmtId="0" fontId="2" fillId="33" borderId="49" xfId="0" applyNumberFormat="1" applyFont="1" applyFill="1" applyBorder="1" applyAlignment="1">
      <alignment horizontal="left" vertical="top" wrapText="1"/>
    </xf>
    <xf numFmtId="164" fontId="2" fillId="33" borderId="48" xfId="0" applyNumberFormat="1" applyFont="1" applyFill="1" applyBorder="1" applyAlignment="1">
      <alignment/>
    </xf>
    <xf numFmtId="0" fontId="2" fillId="0" borderId="47" xfId="0" applyNumberFormat="1" applyFont="1" applyBorder="1" applyAlignment="1">
      <alignment horizontal="left" vertical="top" wrapText="1"/>
    </xf>
    <xf numFmtId="0" fontId="2" fillId="0" borderId="50" xfId="0" applyNumberFormat="1" applyFont="1" applyBorder="1" applyAlignment="1">
      <alignment horizontal="left" vertical="top" wrapText="1"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0" fontId="5" fillId="0" borderId="53" xfId="0" applyNumberFormat="1" applyFont="1" applyBorder="1" applyAlignment="1">
      <alignment horizontal="left" vertical="center" wrapText="1"/>
    </xf>
    <xf numFmtId="164" fontId="2" fillId="0" borderId="48" xfId="0" applyNumberFormat="1" applyFont="1" applyFill="1" applyBorder="1" applyAlignment="1">
      <alignment/>
    </xf>
    <xf numFmtId="0" fontId="6" fillId="0" borderId="47" xfId="0" applyNumberFormat="1" applyFont="1" applyFill="1" applyBorder="1" applyAlignment="1">
      <alignment horizontal="left" vertical="top" wrapText="1"/>
    </xf>
    <xf numFmtId="164" fontId="70" fillId="0" borderId="48" xfId="0" applyNumberFormat="1" applyFont="1" applyFill="1" applyBorder="1" applyAlignment="1">
      <alignment/>
    </xf>
    <xf numFmtId="0" fontId="5" fillId="0" borderId="47" xfId="0" applyNumberFormat="1" applyFont="1" applyBorder="1" applyAlignment="1">
      <alignment vertical="top" wrapText="1"/>
    </xf>
    <xf numFmtId="0" fontId="5" fillId="33" borderId="54" xfId="0" applyNumberFormat="1" applyFont="1" applyFill="1" applyBorder="1" applyAlignment="1">
      <alignment horizontal="left" vertical="top" wrapText="1"/>
    </xf>
    <xf numFmtId="164" fontId="5" fillId="33" borderId="55" xfId="0" applyNumberFormat="1" applyFont="1" applyFill="1" applyBorder="1" applyAlignment="1">
      <alignment/>
    </xf>
    <xf numFmtId="164" fontId="5" fillId="33" borderId="56" xfId="0" applyNumberFormat="1" applyFont="1" applyFill="1" applyBorder="1" applyAlignment="1">
      <alignment/>
    </xf>
    <xf numFmtId="164" fontId="7" fillId="0" borderId="57" xfId="0" applyNumberFormat="1" applyFont="1" applyBorder="1" applyAlignment="1">
      <alignment/>
    </xf>
    <xf numFmtId="0" fontId="2" fillId="0" borderId="58" xfId="0" applyNumberFormat="1" applyFont="1" applyBorder="1" applyAlignment="1">
      <alignment horizontal="left" vertical="top" wrapText="1"/>
    </xf>
    <xf numFmtId="164" fontId="2" fillId="0" borderId="59" xfId="0" applyNumberFormat="1" applyFont="1" applyBorder="1" applyAlignment="1">
      <alignment/>
    </xf>
    <xf numFmtId="172" fontId="1" fillId="38" borderId="40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left" vertical="center" wrapText="1"/>
    </xf>
    <xf numFmtId="164" fontId="1" fillId="0" borderId="61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 vertical="center"/>
    </xf>
    <xf numFmtId="172" fontId="1" fillId="38" borderId="64" xfId="0" applyNumberFormat="1" applyFont="1" applyFill="1" applyBorder="1" applyAlignment="1">
      <alignment horizontal="center" vertical="center" wrapText="1"/>
    </xf>
    <xf numFmtId="172" fontId="1" fillId="38" borderId="65" xfId="0" applyNumberFormat="1" applyFont="1" applyFill="1" applyBorder="1" applyAlignment="1">
      <alignment horizontal="center" vertical="center" wrapText="1"/>
    </xf>
    <xf numFmtId="0" fontId="1" fillId="38" borderId="66" xfId="0" applyNumberFormat="1" applyFont="1" applyFill="1" applyBorder="1" applyAlignment="1">
      <alignment horizontal="center" vertical="center" wrapText="1"/>
    </xf>
    <xf numFmtId="164" fontId="1" fillId="0" borderId="67" xfId="0" applyNumberFormat="1" applyFont="1" applyBorder="1" applyAlignment="1">
      <alignment/>
    </xf>
    <xf numFmtId="164" fontId="1" fillId="33" borderId="68" xfId="0" applyNumberFormat="1" applyFont="1" applyFill="1" applyBorder="1" applyAlignment="1">
      <alignment/>
    </xf>
    <xf numFmtId="164" fontId="2" fillId="0" borderId="67" xfId="0" applyNumberFormat="1" applyFont="1" applyBorder="1" applyAlignment="1">
      <alignment/>
    </xf>
    <xf numFmtId="164" fontId="2" fillId="33" borderId="67" xfId="0" applyNumberFormat="1" applyFont="1" applyFill="1" applyBorder="1" applyAlignment="1">
      <alignment/>
    </xf>
    <xf numFmtId="164" fontId="2" fillId="0" borderId="69" xfId="0" applyNumberFormat="1" applyFont="1" applyBorder="1" applyAlignment="1">
      <alignment/>
    </xf>
    <xf numFmtId="164" fontId="2" fillId="0" borderId="67" xfId="0" applyNumberFormat="1" applyFont="1" applyFill="1" applyBorder="1" applyAlignment="1">
      <alignment/>
    </xf>
    <xf numFmtId="164" fontId="70" fillId="0" borderId="67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1" fillId="0" borderId="70" xfId="0" applyNumberFormat="1" applyFont="1" applyBorder="1" applyAlignment="1">
      <alignment/>
    </xf>
    <xf numFmtId="164" fontId="73" fillId="0" borderId="43" xfId="0" applyNumberFormat="1" applyFont="1" applyFill="1" applyBorder="1" applyAlignment="1">
      <alignment/>
    </xf>
    <xf numFmtId="164" fontId="1" fillId="34" borderId="43" xfId="0" applyNumberFormat="1" applyFont="1" applyFill="1" applyBorder="1" applyAlignment="1">
      <alignment/>
    </xf>
    <xf numFmtId="164" fontId="1" fillId="0" borderId="71" xfId="0" applyNumberFormat="1" applyFont="1" applyBorder="1" applyAlignment="1">
      <alignment/>
    </xf>
    <xf numFmtId="0" fontId="5" fillId="0" borderId="60" xfId="0" applyNumberFormat="1" applyFont="1" applyBorder="1" applyAlignment="1">
      <alignment horizontal="left" vertical="center" wrapText="1"/>
    </xf>
    <xf numFmtId="164" fontId="5" fillId="0" borderId="61" xfId="0" applyNumberFormat="1" applyFont="1" applyBorder="1" applyAlignment="1">
      <alignment/>
    </xf>
    <xf numFmtId="164" fontId="7" fillId="0" borderId="40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64" fontId="7" fillId="0" borderId="62" xfId="0" applyNumberFormat="1" applyFont="1" applyBorder="1" applyAlignment="1">
      <alignment/>
    </xf>
    <xf numFmtId="164" fontId="7" fillId="0" borderId="63" xfId="0" applyNumberFormat="1" applyFont="1" applyBorder="1" applyAlignment="1">
      <alignment/>
    </xf>
    <xf numFmtId="16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0" fontId="5" fillId="33" borderId="66" xfId="0" applyNumberFormat="1" applyFont="1" applyFill="1" applyBorder="1" applyAlignment="1">
      <alignment horizontal="left" vertical="top" wrapText="1"/>
    </xf>
    <xf numFmtId="164" fontId="5" fillId="33" borderId="64" xfId="0" applyNumberFormat="1" applyFont="1" applyFill="1" applyBorder="1" applyAlignment="1">
      <alignment/>
    </xf>
    <xf numFmtId="164" fontId="5" fillId="33" borderId="62" xfId="0" applyNumberFormat="1" applyFont="1" applyFill="1" applyBorder="1" applyAlignment="1">
      <alignment/>
    </xf>
    <xf numFmtId="164" fontId="5" fillId="33" borderId="63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4" fontId="0" fillId="0" borderId="0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164" fontId="3" fillId="0" borderId="65" xfId="0" applyNumberFormat="1" applyFont="1" applyBorder="1" applyAlignment="1">
      <alignment/>
    </xf>
    <xf numFmtId="164" fontId="4" fillId="0" borderId="65" xfId="0" applyNumberFormat="1" applyFont="1" applyBorder="1" applyAlignment="1">
      <alignment/>
    </xf>
    <xf numFmtId="164" fontId="3" fillId="0" borderId="65" xfId="0" applyNumberFormat="1" applyFont="1" applyBorder="1" applyAlignment="1">
      <alignment/>
    </xf>
    <xf numFmtId="164" fontId="6" fillId="0" borderId="65" xfId="0" applyNumberFormat="1" applyFont="1" applyBorder="1" applyAlignment="1">
      <alignment/>
    </xf>
    <xf numFmtId="164" fontId="3" fillId="0" borderId="65" xfId="0" applyNumberFormat="1" applyFont="1" applyFill="1" applyBorder="1" applyAlignment="1">
      <alignment/>
    </xf>
    <xf numFmtId="164" fontId="9" fillId="0" borderId="72" xfId="0" applyNumberFormat="1" applyFont="1" applyFill="1" applyBorder="1" applyAlignment="1">
      <alignment vertical="center"/>
    </xf>
    <xf numFmtId="164" fontId="9" fillId="0" borderId="72" xfId="0" applyNumberFormat="1" applyFont="1" applyBorder="1" applyAlignment="1">
      <alignment vertical="center"/>
    </xf>
    <xf numFmtId="0" fontId="3" fillId="38" borderId="73" xfId="0" applyNumberFormat="1" applyFont="1" applyFill="1" applyBorder="1" applyAlignment="1">
      <alignment horizontal="center" vertical="center" wrapText="1"/>
    </xf>
    <xf numFmtId="0" fontId="3" fillId="38" borderId="74" xfId="0" applyNumberFormat="1" applyFont="1" applyFill="1" applyBorder="1" applyAlignment="1">
      <alignment horizontal="center" vertical="center" wrapText="1"/>
    </xf>
    <xf numFmtId="164" fontId="3" fillId="0" borderId="72" xfId="0" applyNumberFormat="1" applyFont="1" applyBorder="1" applyAlignment="1">
      <alignment/>
    </xf>
    <xf numFmtId="164" fontId="4" fillId="0" borderId="72" xfId="0" applyNumberFormat="1" applyFont="1" applyBorder="1" applyAlignment="1">
      <alignment/>
    </xf>
    <xf numFmtId="164" fontId="3" fillId="0" borderId="72" xfId="0" applyNumberFormat="1" applyFont="1" applyBorder="1" applyAlignment="1">
      <alignment/>
    </xf>
    <xf numFmtId="164" fontId="6" fillId="0" borderId="72" xfId="0" applyNumberFormat="1" applyFont="1" applyBorder="1" applyAlignment="1">
      <alignment/>
    </xf>
    <xf numFmtId="0" fontId="3" fillId="0" borderId="73" xfId="0" applyNumberFormat="1" applyFont="1" applyFill="1" applyBorder="1" applyAlignment="1">
      <alignment horizontal="left" vertical="center" wrapText="1"/>
    </xf>
    <xf numFmtId="164" fontId="3" fillId="0" borderId="74" xfId="0" applyNumberFormat="1" applyFont="1" applyBorder="1" applyAlignment="1">
      <alignment vertical="center"/>
    </xf>
    <xf numFmtId="164" fontId="9" fillId="0" borderId="74" xfId="0" applyNumberFormat="1" applyFont="1" applyFill="1" applyBorder="1" applyAlignment="1">
      <alignment vertical="center"/>
    </xf>
    <xf numFmtId="164" fontId="9" fillId="0" borderId="74" xfId="0" applyNumberFormat="1" applyFont="1" applyBorder="1" applyAlignment="1">
      <alignment vertical="center"/>
    </xf>
    <xf numFmtId="164" fontId="9" fillId="0" borderId="75" xfId="0" applyNumberFormat="1" applyFont="1" applyBorder="1" applyAlignment="1">
      <alignment vertical="center"/>
    </xf>
    <xf numFmtId="164" fontId="3" fillId="0" borderId="76" xfId="0" applyNumberFormat="1" applyFont="1" applyBorder="1" applyAlignment="1">
      <alignment/>
    </xf>
    <xf numFmtId="164" fontId="4" fillId="0" borderId="76" xfId="0" applyNumberFormat="1" applyFont="1" applyBorder="1" applyAlignment="1">
      <alignment/>
    </xf>
    <xf numFmtId="164" fontId="3" fillId="0" borderId="76" xfId="0" applyNumberFormat="1" applyFont="1" applyBorder="1" applyAlignment="1">
      <alignment/>
    </xf>
    <xf numFmtId="164" fontId="6" fillId="0" borderId="76" xfId="0" applyNumberFormat="1" applyFont="1" applyBorder="1" applyAlignment="1">
      <alignment/>
    </xf>
    <xf numFmtId="164" fontId="4" fillId="0" borderId="72" xfId="0" applyNumberFormat="1" applyFont="1" applyFill="1" applyBorder="1" applyAlignment="1">
      <alignment/>
    </xf>
    <xf numFmtId="164" fontId="3" fillId="0" borderId="74" xfId="0" applyNumberFormat="1" applyFont="1" applyBorder="1" applyAlignment="1">
      <alignment horizontal="right" vertical="center"/>
    </xf>
    <xf numFmtId="164" fontId="9" fillId="0" borderId="74" xfId="0" applyNumberFormat="1" applyFont="1" applyBorder="1" applyAlignment="1">
      <alignment horizontal="right" vertical="center"/>
    </xf>
    <xf numFmtId="164" fontId="3" fillId="0" borderId="75" xfId="0" applyNumberFormat="1" applyFont="1" applyBorder="1" applyAlignment="1">
      <alignment vertical="center"/>
    </xf>
    <xf numFmtId="0" fontId="3" fillId="0" borderId="73" xfId="0" applyNumberFormat="1" applyFont="1" applyBorder="1" applyAlignment="1">
      <alignment horizontal="left" vertical="center" wrapText="1"/>
    </xf>
    <xf numFmtId="164" fontId="3" fillId="0" borderId="74" xfId="0" applyNumberFormat="1" applyFont="1" applyBorder="1" applyAlignment="1">
      <alignment/>
    </xf>
    <xf numFmtId="164" fontId="9" fillId="0" borderId="74" xfId="0" applyNumberFormat="1" applyFont="1" applyFill="1" applyBorder="1" applyAlignment="1">
      <alignment/>
    </xf>
    <xf numFmtId="164" fontId="9" fillId="34" borderId="74" xfId="0" applyNumberFormat="1" applyFont="1" applyFill="1" applyBorder="1" applyAlignment="1">
      <alignment/>
    </xf>
    <xf numFmtId="164" fontId="9" fillId="0" borderId="74" xfId="0" applyNumberFormat="1" applyFont="1" applyBorder="1" applyAlignment="1">
      <alignment/>
    </xf>
    <xf numFmtId="164" fontId="3" fillId="0" borderId="74" xfId="0" applyNumberFormat="1" applyFont="1" applyBorder="1" applyAlignment="1">
      <alignment/>
    </xf>
    <xf numFmtId="164" fontId="3" fillId="0" borderId="75" xfId="0" applyNumberFormat="1" applyFont="1" applyBorder="1" applyAlignment="1">
      <alignment/>
    </xf>
    <xf numFmtId="0" fontId="4" fillId="0" borderId="77" xfId="0" applyNumberFormat="1" applyFont="1" applyFill="1" applyBorder="1" applyAlignment="1">
      <alignment vertical="top" wrapText="1"/>
    </xf>
    <xf numFmtId="164" fontId="6" fillId="0" borderId="39" xfId="0" applyNumberFormat="1" applyFont="1" applyBorder="1" applyAlignment="1">
      <alignment/>
    </xf>
    <xf numFmtId="0" fontId="6" fillId="0" borderId="78" xfId="0" applyNumberFormat="1" applyFont="1" applyBorder="1" applyAlignment="1">
      <alignment horizontal="left" vertical="top" wrapText="1"/>
    </xf>
    <xf numFmtId="164" fontId="6" fillId="0" borderId="79" xfId="0" applyNumberFormat="1" applyFont="1" applyBorder="1" applyAlignment="1">
      <alignment/>
    </xf>
    <xf numFmtId="0" fontId="6" fillId="0" borderId="80" xfId="0" applyNumberFormat="1" applyFont="1" applyBorder="1" applyAlignment="1">
      <alignment horizontal="left" vertical="top" wrapText="1"/>
    </xf>
    <xf numFmtId="164" fontId="6" fillId="0" borderId="81" xfId="0" applyNumberFormat="1" applyFont="1" applyBorder="1" applyAlignment="1">
      <alignment/>
    </xf>
    <xf numFmtId="0" fontId="6" fillId="0" borderId="78" xfId="0" applyNumberFormat="1" applyFont="1" applyFill="1" applyBorder="1" applyAlignment="1">
      <alignment horizontal="left" vertical="top" wrapText="1"/>
    </xf>
    <xf numFmtId="0" fontId="6" fillId="0" borderId="80" xfId="0" applyNumberFormat="1" applyFont="1" applyFill="1" applyBorder="1" applyAlignment="1">
      <alignment horizontal="left" vertical="top" wrapText="1"/>
    </xf>
    <xf numFmtId="0" fontId="6" fillId="0" borderId="82" xfId="0" applyNumberFormat="1" applyFont="1" applyFill="1" applyBorder="1" applyAlignment="1">
      <alignment horizontal="left" vertical="top" wrapText="1"/>
    </xf>
    <xf numFmtId="164" fontId="3" fillId="0" borderId="83" xfId="0" applyNumberFormat="1" applyFont="1" applyFill="1" applyBorder="1" applyAlignment="1">
      <alignment/>
    </xf>
    <xf numFmtId="164" fontId="3" fillId="0" borderId="83" xfId="0" applyNumberFormat="1" applyFont="1" applyBorder="1" applyAlignment="1">
      <alignment/>
    </xf>
    <xf numFmtId="164" fontId="6" fillId="0" borderId="83" xfId="0" applyNumberFormat="1" applyFont="1" applyBorder="1" applyAlignment="1">
      <alignment/>
    </xf>
    <xf numFmtId="164" fontId="6" fillId="0" borderId="84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0" fontId="4" fillId="0" borderId="78" xfId="0" applyNumberFormat="1" applyFont="1" applyFill="1" applyBorder="1" applyAlignment="1">
      <alignment vertical="top" wrapText="1"/>
    </xf>
    <xf numFmtId="0" fontId="3" fillId="0" borderId="77" xfId="0" applyNumberFormat="1" applyFont="1" applyFill="1" applyBorder="1" applyAlignment="1">
      <alignment horizontal="left" vertical="center" wrapText="1"/>
    </xf>
    <xf numFmtId="166" fontId="9" fillId="38" borderId="74" xfId="0" applyNumberFormat="1" applyFont="1" applyFill="1" applyBorder="1" applyAlignment="1">
      <alignment horizontal="center" vertical="center" wrapText="1"/>
    </xf>
    <xf numFmtId="166" fontId="9" fillId="38" borderId="75" xfId="0" applyNumberFormat="1" applyFont="1" applyFill="1" applyBorder="1" applyAlignment="1">
      <alignment horizontal="center" vertical="center" wrapText="1"/>
    </xf>
    <xf numFmtId="166" fontId="3" fillId="38" borderId="74" xfId="0" applyNumberFormat="1" applyFont="1" applyFill="1" applyBorder="1" applyAlignment="1">
      <alignment horizontal="center" vertical="center" wrapText="1"/>
    </xf>
    <xf numFmtId="166" fontId="3" fillId="38" borderId="75" xfId="0" applyNumberFormat="1" applyFont="1" applyFill="1" applyBorder="1" applyAlignment="1">
      <alignment horizontal="center" vertical="center" wrapText="1"/>
    </xf>
    <xf numFmtId="164" fontId="7" fillId="0" borderId="85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2" fillId="0" borderId="86" xfId="0" applyNumberFormat="1" applyFont="1" applyFill="1" applyBorder="1" applyAlignment="1">
      <alignment/>
    </xf>
    <xf numFmtId="164" fontId="2" fillId="0" borderId="72" xfId="0" applyNumberFormat="1" applyFont="1" applyBorder="1" applyAlignment="1">
      <alignment/>
    </xf>
    <xf numFmtId="164" fontId="1" fillId="33" borderId="27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1" fillId="33" borderId="87" xfId="0" applyNumberFormat="1" applyFont="1" applyFill="1" applyBorder="1" applyAlignment="1">
      <alignment/>
    </xf>
    <xf numFmtId="164" fontId="2" fillId="33" borderId="86" xfId="0" applyNumberFormat="1" applyFont="1" applyFill="1" applyBorder="1" applyAlignment="1">
      <alignment/>
    </xf>
    <xf numFmtId="164" fontId="5" fillId="33" borderId="88" xfId="0" applyNumberFormat="1" applyFont="1" applyFill="1" applyBorder="1" applyAlignment="1">
      <alignment/>
    </xf>
    <xf numFmtId="0" fontId="3" fillId="0" borderId="47" xfId="0" applyNumberFormat="1" applyFont="1" applyFill="1" applyBorder="1" applyAlignment="1">
      <alignment horizontal="left" vertical="top" wrapText="1"/>
    </xf>
    <xf numFmtId="164" fontId="1" fillId="0" borderId="89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86" xfId="0" applyNumberFormat="1" applyFont="1" applyBorder="1" applyAlignment="1">
      <alignment/>
    </xf>
    <xf numFmtId="0" fontId="1" fillId="38" borderId="90" xfId="0" applyNumberFormat="1" applyFont="1" applyFill="1" applyBorder="1" applyAlignment="1">
      <alignment horizontal="center" vertical="center" wrapText="1"/>
    </xf>
    <xf numFmtId="0" fontId="1" fillId="38" borderId="9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4" fontId="5" fillId="0" borderId="85" xfId="0" applyNumberFormat="1" applyFont="1" applyFill="1" applyBorder="1" applyAlignment="1">
      <alignment horizontal="center" vertical="center"/>
    </xf>
    <xf numFmtId="164" fontId="1" fillId="0" borderId="74" xfId="0" applyNumberFormat="1" applyFont="1" applyBorder="1" applyAlignment="1">
      <alignment horizontal="center" vertical="center"/>
    </xf>
    <xf numFmtId="164" fontId="1" fillId="0" borderId="75" xfId="0" applyNumberFormat="1" applyFont="1" applyBorder="1" applyAlignment="1">
      <alignment horizontal="center" vertical="center"/>
    </xf>
    <xf numFmtId="0" fontId="3" fillId="0" borderId="92" xfId="0" applyNumberFormat="1" applyFont="1" applyBorder="1" applyAlignment="1">
      <alignment horizontal="left" vertical="center" wrapText="1"/>
    </xf>
    <xf numFmtId="164" fontId="1" fillId="0" borderId="93" xfId="0" applyNumberFormat="1" applyFont="1" applyBorder="1" applyAlignment="1">
      <alignment/>
    </xf>
    <xf numFmtId="164" fontId="1" fillId="0" borderId="94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172" fontId="1" fillId="38" borderId="91" xfId="0" applyNumberFormat="1" applyFont="1" applyFill="1" applyBorder="1" applyAlignment="1">
      <alignment horizontal="center" vertical="center"/>
    </xf>
    <xf numFmtId="164" fontId="1" fillId="0" borderId="91" xfId="0" applyNumberFormat="1" applyFont="1" applyFill="1" applyBorder="1" applyAlignment="1">
      <alignment/>
    </xf>
    <xf numFmtId="164" fontId="1" fillId="34" borderId="91" xfId="0" applyNumberFormat="1" applyFont="1" applyFill="1" applyBorder="1" applyAlignment="1">
      <alignment/>
    </xf>
    <xf numFmtId="164" fontId="1" fillId="0" borderId="91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2" fontId="73" fillId="38" borderId="91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169" fontId="14" fillId="39" borderId="15" xfId="0" applyNumberFormat="1" applyFont="1" applyFill="1" applyBorder="1" applyAlignment="1">
      <alignment horizontal="center"/>
    </xf>
    <xf numFmtId="0" fontId="14" fillId="35" borderId="18" xfId="0" applyFont="1" applyFill="1" applyBorder="1" applyAlignment="1">
      <alignment/>
    </xf>
    <xf numFmtId="0" fontId="74" fillId="0" borderId="0" xfId="0" applyFont="1" applyAlignment="1">
      <alignment/>
    </xf>
    <xf numFmtId="164" fontId="75" fillId="35" borderId="17" xfId="0" applyNumberFormat="1" applyFont="1" applyFill="1" applyBorder="1" applyAlignment="1">
      <alignment/>
    </xf>
    <xf numFmtId="164" fontId="76" fillId="0" borderId="11" xfId="0" applyNumberFormat="1" applyFont="1" applyFill="1" applyBorder="1" applyAlignment="1">
      <alignment/>
    </xf>
    <xf numFmtId="164" fontId="76" fillId="0" borderId="0" xfId="0" applyNumberFormat="1" applyFont="1" applyFill="1" applyBorder="1" applyAlignment="1">
      <alignment/>
    </xf>
    <xf numFmtId="164" fontId="77" fillId="0" borderId="11" xfId="0" applyNumberFormat="1" applyFont="1" applyFill="1" applyBorder="1" applyAlignment="1">
      <alignment/>
    </xf>
    <xf numFmtId="164" fontId="72" fillId="35" borderId="17" xfId="0" applyNumberFormat="1" applyFont="1" applyFill="1" applyBorder="1" applyAlignment="1">
      <alignment/>
    </xf>
    <xf numFmtId="0" fontId="78" fillId="0" borderId="0" xfId="0" applyFont="1" applyAlignment="1">
      <alignment/>
    </xf>
    <xf numFmtId="164" fontId="77" fillId="0" borderId="0" xfId="0" applyNumberFormat="1" applyFont="1" applyFill="1" applyBorder="1" applyAlignment="1">
      <alignment/>
    </xf>
    <xf numFmtId="169" fontId="14" fillId="40" borderId="15" xfId="0" applyNumberFormat="1" applyFont="1" applyFill="1" applyBorder="1" applyAlignment="1">
      <alignment horizontal="center"/>
    </xf>
    <xf numFmtId="164" fontId="15" fillId="41" borderId="19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9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95" xfId="0" applyNumberFormat="1" applyFont="1" applyBorder="1" applyAlignment="1">
      <alignment horizontal="left" vertical="top" wrapText="1"/>
    </xf>
    <xf numFmtId="0" fontId="20" fillId="0" borderId="96" xfId="0" applyNumberFormat="1" applyFont="1" applyBorder="1" applyAlignment="1">
      <alignment horizontal="left" vertical="top" wrapText="1"/>
    </xf>
    <xf numFmtId="0" fontId="20" fillId="0" borderId="97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4" fillId="35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0.965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8072984"/>
        <c:axId val="28439129"/>
      </c:barChart>
      <c:catAx>
        <c:axId val="180729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9129"/>
        <c:crossesAt val="0"/>
        <c:auto val="1"/>
        <c:lblOffset val="100"/>
        <c:tickLblSkip val="1"/>
        <c:noMultiLvlLbl val="0"/>
      </c:catAx>
      <c:valAx>
        <c:axId val="28439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98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90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7725"/>
          <c:w val="0.953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2018'!$A$7</c:f>
              <c:strCache>
                <c:ptCount val="1"/>
                <c:pt idx="0">
                  <c:v>  - rate de capital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2018'!$C$3:$N$3</c:f>
              <c:strCache/>
            </c:strRef>
          </c:cat>
          <c:val>
            <c:numRef>
              <c:f>'sdp 2018'!$C$7:$N$7</c:f>
              <c:numCache/>
            </c:numRef>
          </c:val>
        </c:ser>
        <c:ser>
          <c:idx val="1"/>
          <c:order val="1"/>
          <c:tx>
            <c:strRef>
              <c:f>'sdp 2018'!$A$9</c:f>
              <c:strCache>
                <c:ptCount val="1"/>
                <c:pt idx="0">
                  <c:v>  - 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2018'!$C$3:$N$3</c:f>
              <c:strCache/>
            </c:strRef>
          </c:cat>
          <c:val>
            <c:numRef>
              <c:f>'sdp 2018'!$C$9:$N$9</c:f>
              <c:numCache/>
            </c:numRef>
          </c:val>
        </c:ser>
        <c:overlap val="100"/>
        <c:axId val="54625570"/>
        <c:axId val="21868083"/>
      </c:barChart>
      <c:dateAx>
        <c:axId val="546255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8083"/>
        <c:crossesAt val="0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868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557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5"/>
          <c:y val="0.8065"/>
          <c:w val="0.319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30125"/>
        <a:ext cx="12325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302" t="s">
        <v>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3:14" ht="12.75">
      <c r="C2" s="1"/>
      <c r="D2" s="2"/>
      <c r="J2" s="1"/>
      <c r="K2" s="2"/>
      <c r="N2" s="193" t="s">
        <v>0</v>
      </c>
    </row>
    <row r="3" spans="1:14" s="5" customFormat="1" ht="45.75" customHeight="1">
      <c r="A3" s="166" t="s">
        <v>98</v>
      </c>
      <c r="B3" s="128" t="s">
        <v>76</v>
      </c>
      <c r="C3" s="129">
        <v>42370</v>
      </c>
      <c r="D3" s="129">
        <v>42401</v>
      </c>
      <c r="E3" s="129">
        <v>42430</v>
      </c>
      <c r="F3" s="129">
        <v>42461</v>
      </c>
      <c r="G3" s="129">
        <v>42491</v>
      </c>
      <c r="H3" s="129">
        <v>42522</v>
      </c>
      <c r="I3" s="158" t="s">
        <v>132</v>
      </c>
      <c r="J3" s="158" t="s">
        <v>131</v>
      </c>
      <c r="K3" s="158" t="s">
        <v>127</v>
      </c>
      <c r="L3" s="158" t="s">
        <v>128</v>
      </c>
      <c r="M3" s="164" t="s">
        <v>129</v>
      </c>
      <c r="N3" s="165" t="s">
        <v>130</v>
      </c>
    </row>
    <row r="4" spans="1:14" s="5" customFormat="1" ht="48.75" customHeight="1">
      <c r="A4" s="130" t="s">
        <v>111</v>
      </c>
      <c r="B4" s="131">
        <f aca="true" t="shared" si="0" ref="B4:N4">SUM(B7,B9)</f>
        <v>23469.184520000003</v>
      </c>
      <c r="C4" s="132">
        <f t="shared" si="0"/>
        <v>444.4297066666667</v>
      </c>
      <c r="D4" s="132">
        <f t="shared" si="0"/>
        <v>760.2690666666666</v>
      </c>
      <c r="E4" s="132">
        <f t="shared" si="0"/>
        <v>5966.712506666667</v>
      </c>
      <c r="F4" s="133">
        <f t="shared" si="0"/>
        <v>752.5398866666667</v>
      </c>
      <c r="G4" s="133">
        <f t="shared" si="0"/>
        <v>808.8607666666669</v>
      </c>
      <c r="H4" s="133">
        <f t="shared" si="0"/>
        <v>8537.251346666668</v>
      </c>
      <c r="I4" s="133">
        <f>SUM(I7,I9)</f>
        <v>751.2767466666667</v>
      </c>
      <c r="J4" s="133">
        <f t="shared" si="0"/>
        <v>1375.5781866666666</v>
      </c>
      <c r="K4" s="133">
        <f t="shared" si="0"/>
        <v>675.0809066666668</v>
      </c>
      <c r="L4" s="133">
        <f t="shared" si="0"/>
        <v>1756.2975466666667</v>
      </c>
      <c r="M4" s="134">
        <f t="shared" si="0"/>
        <v>963.3106666666667</v>
      </c>
      <c r="N4" s="167">
        <f t="shared" si="0"/>
        <v>704.0530666666668</v>
      </c>
    </row>
    <row r="5" spans="1:14" s="5" customFormat="1" ht="13.5">
      <c r="A5" s="135" t="s">
        <v>2</v>
      </c>
      <c r="B5" s="6">
        <f aca="true" t="shared" si="1" ref="B5:N5">B27+B24</f>
        <v>5262.148995515696</v>
      </c>
      <c r="C5" s="6">
        <f t="shared" si="1"/>
        <v>99.64791629297459</v>
      </c>
      <c r="D5" s="6">
        <f t="shared" si="1"/>
        <v>170.46391629297457</v>
      </c>
      <c r="E5" s="6">
        <f t="shared" si="1"/>
        <v>1337.8279162929746</v>
      </c>
      <c r="F5" s="6">
        <f t="shared" si="1"/>
        <v>168.7309162929746</v>
      </c>
      <c r="G5" s="6">
        <f t="shared" si="1"/>
        <v>181.35891629297464</v>
      </c>
      <c r="H5" s="6">
        <f t="shared" si="1"/>
        <v>1914.1819162929748</v>
      </c>
      <c r="I5" s="6">
        <f t="shared" si="1"/>
        <v>167.69570238095238</v>
      </c>
      <c r="J5" s="6">
        <f t="shared" si="1"/>
        <v>307.04870238095236</v>
      </c>
      <c r="K5" s="6">
        <f t="shared" si="1"/>
        <v>150.6877023809524</v>
      </c>
      <c r="L5" s="6">
        <f t="shared" si="1"/>
        <v>392.03070238095245</v>
      </c>
      <c r="M5" s="136">
        <f t="shared" si="1"/>
        <v>215.0247023809524</v>
      </c>
      <c r="N5" s="168">
        <f t="shared" si="1"/>
        <v>157.1547023809524</v>
      </c>
    </row>
    <row r="6" spans="1:14" s="5" customFormat="1" ht="15">
      <c r="A6" s="137" t="s">
        <v>101</v>
      </c>
      <c r="B6" s="7"/>
      <c r="C6" s="8"/>
      <c r="D6" s="8"/>
      <c r="E6" s="9"/>
      <c r="F6" s="8"/>
      <c r="G6" s="8"/>
      <c r="H6" s="8"/>
      <c r="I6" s="8"/>
      <c r="J6" s="8"/>
      <c r="K6" s="8"/>
      <c r="L6" s="8"/>
      <c r="M6" s="138"/>
      <c r="N6" s="169"/>
    </row>
    <row r="7" spans="1:14" s="5" customFormat="1" ht="13.5">
      <c r="A7" s="139" t="s">
        <v>112</v>
      </c>
      <c r="B7" s="7">
        <f aca="true" t="shared" si="2" ref="B7:N7">B19+B30*B14</f>
        <v>17922.996140000003</v>
      </c>
      <c r="C7" s="7">
        <f t="shared" si="2"/>
        <v>177.5526</v>
      </c>
      <c r="D7" s="7">
        <f>D19+D30*D14</f>
        <v>228.2628</v>
      </c>
      <c r="E7" s="7">
        <f t="shared" si="2"/>
        <v>5598.2366</v>
      </c>
      <c r="F7" s="7">
        <f t="shared" si="2"/>
        <v>208.76814000000005</v>
      </c>
      <c r="G7" s="7">
        <f t="shared" si="2"/>
        <v>230.2162800000004</v>
      </c>
      <c r="H7" s="7">
        <f t="shared" si="2"/>
        <v>7923.301500000001</v>
      </c>
      <c r="I7" s="7">
        <f>I19+I30*I14</f>
        <v>288.67328</v>
      </c>
      <c r="J7" s="7">
        <f t="shared" si="2"/>
        <v>867.90144</v>
      </c>
      <c r="K7" s="7">
        <f t="shared" si="2"/>
        <v>379.80096000000003</v>
      </c>
      <c r="L7" s="7">
        <f t="shared" si="2"/>
        <v>976.2681600000001</v>
      </c>
      <c r="M7" s="138">
        <f t="shared" si="2"/>
        <v>635.6134400000001</v>
      </c>
      <c r="N7" s="169">
        <f t="shared" si="2"/>
        <v>424.35008000000005</v>
      </c>
    </row>
    <row r="8" spans="1:14" s="5" customFormat="1" ht="13.5">
      <c r="A8" s="140" t="s">
        <v>4</v>
      </c>
      <c r="B8" s="10">
        <f aca="true" t="shared" si="3" ref="B8:N8">B7/B14</f>
        <v>4018.609000000001</v>
      </c>
      <c r="C8" s="10">
        <f t="shared" si="3"/>
        <v>39.81</v>
      </c>
      <c r="D8" s="10">
        <f t="shared" si="3"/>
        <v>51.18</v>
      </c>
      <c r="E8" s="10">
        <f t="shared" si="3"/>
        <v>1255.21</v>
      </c>
      <c r="F8" s="10">
        <f t="shared" si="3"/>
        <v>46.80900000000001</v>
      </c>
      <c r="G8" s="10">
        <f t="shared" si="3"/>
        <v>51.618000000000094</v>
      </c>
      <c r="H8" s="10">
        <f t="shared" si="3"/>
        <v>1776.5250000000003</v>
      </c>
      <c r="I8" s="10">
        <f t="shared" si="3"/>
        <v>64.43599999999999</v>
      </c>
      <c r="J8" s="10">
        <f t="shared" si="3"/>
        <v>193.72799999999998</v>
      </c>
      <c r="K8" s="10">
        <f t="shared" si="3"/>
        <v>84.777</v>
      </c>
      <c r="L8" s="10">
        <f t="shared" si="3"/>
        <v>217.917</v>
      </c>
      <c r="M8" s="141">
        <f t="shared" si="3"/>
        <v>141.87800000000001</v>
      </c>
      <c r="N8" s="170">
        <f t="shared" si="3"/>
        <v>94.721</v>
      </c>
    </row>
    <row r="9" spans="1:14" s="5" customFormat="1" ht="13.5">
      <c r="A9" s="139" t="s">
        <v>113</v>
      </c>
      <c r="B9" s="7">
        <f aca="true" t="shared" si="4" ref="B9:N9">B20+B31*B14</f>
        <v>5546.1883800000005</v>
      </c>
      <c r="C9" s="7">
        <f t="shared" si="4"/>
        <v>266.8771066666667</v>
      </c>
      <c r="D9" s="7">
        <f t="shared" si="4"/>
        <v>532.0062666666666</v>
      </c>
      <c r="E9" s="7">
        <f t="shared" si="4"/>
        <v>368.4759066666667</v>
      </c>
      <c r="F9" s="7">
        <f t="shared" si="4"/>
        <v>543.7717466666667</v>
      </c>
      <c r="G9" s="7">
        <f t="shared" si="4"/>
        <v>578.6444866666665</v>
      </c>
      <c r="H9" s="7">
        <f t="shared" si="4"/>
        <v>613.9498466666669</v>
      </c>
      <c r="I9" s="7">
        <f t="shared" si="4"/>
        <v>462.6034666666667</v>
      </c>
      <c r="J9" s="7">
        <f t="shared" si="4"/>
        <v>507.67674666666676</v>
      </c>
      <c r="K9" s="7">
        <f t="shared" si="4"/>
        <v>295.2799466666667</v>
      </c>
      <c r="L9" s="7">
        <f t="shared" si="4"/>
        <v>780.0293866666667</v>
      </c>
      <c r="M9" s="138">
        <f t="shared" si="4"/>
        <v>327.69722666666667</v>
      </c>
      <c r="N9" s="169">
        <f t="shared" si="4"/>
        <v>279.70298666666673</v>
      </c>
    </row>
    <row r="10" spans="1:14" s="5" customFormat="1" ht="13.5">
      <c r="A10" s="140" t="s">
        <v>4</v>
      </c>
      <c r="B10" s="10">
        <f aca="true" t="shared" si="5" ref="B10:N10">B9/B14</f>
        <v>1243.5399955156952</v>
      </c>
      <c r="C10" s="10">
        <f t="shared" si="5"/>
        <v>59.8379162929746</v>
      </c>
      <c r="D10" s="10">
        <f t="shared" si="5"/>
        <v>119.28391629297458</v>
      </c>
      <c r="E10" s="10">
        <f t="shared" si="5"/>
        <v>82.61791629297458</v>
      </c>
      <c r="F10" s="10">
        <f t="shared" si="5"/>
        <v>121.92191629297459</v>
      </c>
      <c r="G10" s="10">
        <f t="shared" si="5"/>
        <v>129.74091629297453</v>
      </c>
      <c r="H10" s="10">
        <f t="shared" si="5"/>
        <v>137.65691629297464</v>
      </c>
      <c r="I10" s="10">
        <f t="shared" si="5"/>
        <v>103.25970238095238</v>
      </c>
      <c r="J10" s="10">
        <f t="shared" si="5"/>
        <v>113.3207023809524</v>
      </c>
      <c r="K10" s="10">
        <f t="shared" si="5"/>
        <v>65.91070238095239</v>
      </c>
      <c r="L10" s="10">
        <f t="shared" si="5"/>
        <v>174.11370238095236</v>
      </c>
      <c r="M10" s="141">
        <f t="shared" si="5"/>
        <v>73.14670238095238</v>
      </c>
      <c r="N10" s="170">
        <f t="shared" si="5"/>
        <v>62.43370238095239</v>
      </c>
    </row>
    <row r="11" spans="1:14" s="5" customFormat="1" ht="15">
      <c r="A11" s="137" t="s">
        <v>101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138"/>
      <c r="N11" s="169"/>
    </row>
    <row r="12" spans="1:14" s="5" customFormat="1" ht="27">
      <c r="A12" s="142" t="s">
        <v>114</v>
      </c>
      <c r="B12" s="7">
        <f>B22+B33*B14</f>
        <v>22538.03224</v>
      </c>
      <c r="C12" s="7">
        <f aca="true" t="shared" si="6" ref="C12:N12">C22+C33*C14</f>
        <v>359.72816</v>
      </c>
      <c r="D12" s="7">
        <f>D22+D33*D14</f>
        <v>704.1382799999999</v>
      </c>
      <c r="E12" s="7">
        <f t="shared" si="6"/>
        <v>5885.78858</v>
      </c>
      <c r="F12" s="7">
        <f t="shared" si="6"/>
        <v>700.2491600000001</v>
      </c>
      <c r="G12" s="7">
        <f t="shared" si="6"/>
        <v>742.0081400000004</v>
      </c>
      <c r="H12" s="7">
        <f t="shared" si="6"/>
        <v>8408.431480000001</v>
      </c>
      <c r="I12" s="7">
        <f t="shared" si="6"/>
        <v>665.81776</v>
      </c>
      <c r="J12" s="7">
        <f t="shared" si="6"/>
        <v>1319.4139200000002</v>
      </c>
      <c r="K12" s="7">
        <f t="shared" si="6"/>
        <v>594.55888</v>
      </c>
      <c r="L12" s="7">
        <f t="shared" si="6"/>
        <v>1709.6308800000004</v>
      </c>
      <c r="M12" s="138">
        <f t="shared" si="6"/>
        <v>896.29136</v>
      </c>
      <c r="N12" s="169">
        <f t="shared" si="6"/>
        <v>577.6379200000001</v>
      </c>
    </row>
    <row r="13" spans="1:14" s="5" customFormat="1" ht="27">
      <c r="A13" s="143" t="s">
        <v>115</v>
      </c>
      <c r="B13" s="144">
        <f>B23+B34*B14</f>
        <v>371.15227999999996</v>
      </c>
      <c r="C13" s="144">
        <f>C23+C34*C14</f>
        <v>38.03488</v>
      </c>
      <c r="D13" s="144">
        <f aca="true" t="shared" si="7" ref="D13:N13">D23+D34*D14</f>
        <v>9.46412</v>
      </c>
      <c r="E13" s="144">
        <f t="shared" si="7"/>
        <v>34.257259999999995</v>
      </c>
      <c r="F13" s="144">
        <f t="shared" si="7"/>
        <v>5.624059999999999</v>
      </c>
      <c r="G13" s="144">
        <f t="shared" si="7"/>
        <v>20.185959999999998</v>
      </c>
      <c r="H13" s="144">
        <f t="shared" si="7"/>
        <v>82.15320000000001</v>
      </c>
      <c r="I13" s="144">
        <f t="shared" si="7"/>
        <v>38.79232</v>
      </c>
      <c r="J13" s="144">
        <f t="shared" si="7"/>
        <v>9.497600000000002</v>
      </c>
      <c r="K13" s="144">
        <f t="shared" si="7"/>
        <v>33.85536</v>
      </c>
      <c r="L13" s="144">
        <f t="shared" si="7"/>
        <v>0</v>
      </c>
      <c r="M13" s="145">
        <f t="shared" si="7"/>
        <v>20.35264</v>
      </c>
      <c r="N13" s="171">
        <f t="shared" si="7"/>
        <v>79.74848</v>
      </c>
    </row>
    <row r="14" spans="1:14" s="13" customFormat="1" ht="17.25" customHeight="1">
      <c r="A14" s="11" t="s">
        <v>125</v>
      </c>
      <c r="B14" s="12">
        <v>4.46</v>
      </c>
      <c r="C14" s="12">
        <v>4.46</v>
      </c>
      <c r="D14" s="12">
        <v>4.46</v>
      </c>
      <c r="E14" s="12">
        <v>4.46</v>
      </c>
      <c r="F14" s="12">
        <v>4.46</v>
      </c>
      <c r="G14" s="12">
        <v>4.46</v>
      </c>
      <c r="H14" s="12">
        <v>4.46</v>
      </c>
      <c r="I14" s="12">
        <v>4.48</v>
      </c>
      <c r="J14" s="12">
        <v>4.48</v>
      </c>
      <c r="K14" s="12">
        <v>4.48</v>
      </c>
      <c r="L14" s="12">
        <v>4.48</v>
      </c>
      <c r="M14" s="12">
        <v>4.48</v>
      </c>
      <c r="N14" s="12">
        <v>4.48</v>
      </c>
    </row>
    <row r="15" s="5" customFormat="1" ht="13.5"/>
    <row r="16" spans="1:14" s="5" customFormat="1" ht="30.75">
      <c r="A16" s="159" t="s">
        <v>104</v>
      </c>
      <c r="B16" s="160">
        <f>SUM(B19,B20)</f>
        <v>590</v>
      </c>
      <c r="C16" s="161">
        <f aca="true" t="shared" si="8" ref="C16:N16">C19+C20</f>
        <v>49.166666666666664</v>
      </c>
      <c r="D16" s="161">
        <f t="shared" si="8"/>
        <v>49.166666666666664</v>
      </c>
      <c r="E16" s="161">
        <f t="shared" si="8"/>
        <v>49.166666666666664</v>
      </c>
      <c r="F16" s="161">
        <f t="shared" si="8"/>
        <v>49.166666666666664</v>
      </c>
      <c r="G16" s="161">
        <f t="shared" si="8"/>
        <v>49.166666666666664</v>
      </c>
      <c r="H16" s="161">
        <f t="shared" si="8"/>
        <v>49.166666666666664</v>
      </c>
      <c r="I16" s="161">
        <f t="shared" si="8"/>
        <v>49.166666666666664</v>
      </c>
      <c r="J16" s="161">
        <f t="shared" si="8"/>
        <v>49.166666666666664</v>
      </c>
      <c r="K16" s="161">
        <f t="shared" si="8"/>
        <v>49.166666666666664</v>
      </c>
      <c r="L16" s="161">
        <f t="shared" si="8"/>
        <v>49.166666666666664</v>
      </c>
      <c r="M16" s="162">
        <f t="shared" si="8"/>
        <v>49.166666666666664</v>
      </c>
      <c r="N16" s="163">
        <f t="shared" si="8"/>
        <v>49.166666666666664</v>
      </c>
    </row>
    <row r="17" spans="1:15" s="14" customFormat="1" ht="33.75" customHeight="1">
      <c r="A17" s="179" t="s">
        <v>116</v>
      </c>
      <c r="B17" s="185">
        <f>SUM(C17:N17)</f>
        <v>25217.977000000003</v>
      </c>
      <c r="C17" s="186">
        <f>'detaliat intern'!D3</f>
        <v>8530.6</v>
      </c>
      <c r="D17" s="186">
        <f>'detaliat intern'!E3</f>
        <v>1699.98</v>
      </c>
      <c r="E17" s="186">
        <f>'detaliat intern'!F3</f>
        <v>1399.95</v>
      </c>
      <c r="F17" s="186">
        <f>'detaliat intern'!G3</f>
        <v>799.96</v>
      </c>
      <c r="G17" s="186">
        <f>'detaliat intern'!H3</f>
        <v>999.99</v>
      </c>
      <c r="H17" s="186">
        <f>'detaliat intern'!I3</f>
        <v>999.997</v>
      </c>
      <c r="I17" s="186">
        <f>'detaliat intern'!J3</f>
        <v>999.99</v>
      </c>
      <c r="J17" s="186">
        <f>'detaliat intern'!K3</f>
        <v>1534.9</v>
      </c>
      <c r="K17" s="186">
        <f>'detaliat intern'!L3</f>
        <v>0</v>
      </c>
      <c r="L17" s="186">
        <f>'detaliat intern'!M3</f>
        <v>0</v>
      </c>
      <c r="M17" s="187">
        <f>'detaliat intern'!N3</f>
        <v>8084</v>
      </c>
      <c r="N17" s="188">
        <f>'detaliat intern'!O3</f>
        <v>168.61</v>
      </c>
      <c r="O17" s="116"/>
    </row>
    <row r="18" spans="1:14" s="5" customFormat="1" ht="15">
      <c r="A18" s="137" t="s">
        <v>101</v>
      </c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8"/>
      <c r="N18" s="172"/>
    </row>
    <row r="19" spans="1:14" s="5" customFormat="1" ht="13.5">
      <c r="A19" s="139" t="s">
        <v>112</v>
      </c>
      <c r="B19" s="7">
        <f>SUM(C19:N19)</f>
        <v>0</v>
      </c>
      <c r="C19" s="115">
        <f>'detaliat intern'!D40</f>
        <v>0</v>
      </c>
      <c r="D19" s="115">
        <f>'detaliat intern'!E40</f>
        <v>0</v>
      </c>
      <c r="E19" s="115">
        <f>'detaliat intern'!F40</f>
        <v>0</v>
      </c>
      <c r="F19" s="115">
        <f>'detaliat intern'!G40</f>
        <v>0</v>
      </c>
      <c r="G19" s="115">
        <f>'detaliat intern'!H40</f>
        <v>0</v>
      </c>
      <c r="H19" s="115">
        <f>'detaliat intern'!I40</f>
        <v>0</v>
      </c>
      <c r="I19" s="115">
        <f>'detaliat intern'!J40</f>
        <v>0</v>
      </c>
      <c r="J19" s="115">
        <f>'detaliat intern'!K40</f>
        <v>0</v>
      </c>
      <c r="K19" s="115">
        <f>'detaliat intern'!L40</f>
        <v>0</v>
      </c>
      <c r="L19" s="115">
        <f>'detaliat intern'!M40</f>
        <v>0</v>
      </c>
      <c r="M19" s="150">
        <f>'detaliat intern'!N40</f>
        <v>0</v>
      </c>
      <c r="N19" s="173">
        <f>'detaliat intern'!O40</f>
        <v>0</v>
      </c>
    </row>
    <row r="20" spans="1:14" s="5" customFormat="1" ht="15">
      <c r="A20" s="149" t="s">
        <v>113</v>
      </c>
      <c r="B20" s="7">
        <f>SUM(C20:N20)</f>
        <v>590</v>
      </c>
      <c r="C20" s="115">
        <f>'detaliat intern'!D41</f>
        <v>49.166666666666664</v>
      </c>
      <c r="D20" s="115">
        <f>'detaliat intern'!E41</f>
        <v>49.166666666666664</v>
      </c>
      <c r="E20" s="115">
        <f>'detaliat intern'!F41</f>
        <v>49.166666666666664</v>
      </c>
      <c r="F20" s="115">
        <f>'detaliat intern'!G41</f>
        <v>49.166666666666664</v>
      </c>
      <c r="G20" s="115">
        <f>'detaliat intern'!H41</f>
        <v>49.166666666666664</v>
      </c>
      <c r="H20" s="115">
        <f>'detaliat intern'!I41</f>
        <v>49.166666666666664</v>
      </c>
      <c r="I20" s="115">
        <f>'detaliat intern'!J41</f>
        <v>49.166666666666664</v>
      </c>
      <c r="J20" s="115">
        <f>'detaliat intern'!K41</f>
        <v>49.166666666666664</v>
      </c>
      <c r="K20" s="115">
        <f>'detaliat intern'!L41</f>
        <v>49.166666666666664</v>
      </c>
      <c r="L20" s="115">
        <f>'detaliat intern'!M41</f>
        <v>49.166666666666664</v>
      </c>
      <c r="M20" s="150">
        <f>'detaliat intern'!N41</f>
        <v>49.166666666666664</v>
      </c>
      <c r="N20" s="173">
        <f>'detaliat intern'!O41</f>
        <v>49.166666666666664</v>
      </c>
    </row>
    <row r="21" spans="1:14" s="5" customFormat="1" ht="15">
      <c r="A21" s="137" t="s">
        <v>101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38"/>
      <c r="N21" s="169"/>
    </row>
    <row r="22" spans="1:14" s="5" customFormat="1" ht="27">
      <c r="A22" s="142" t="s">
        <v>117</v>
      </c>
      <c r="B22" s="7">
        <f>SUM(C22:N22)</f>
        <v>30</v>
      </c>
      <c r="C22" s="8">
        <f>'detaliat intern'!D22+'detaliat intern'!D23</f>
        <v>2.5</v>
      </c>
      <c r="D22" s="8">
        <f>'detaliat intern'!E22+'detaliat intern'!E23</f>
        <v>2.5</v>
      </c>
      <c r="E22" s="8">
        <f>'detaliat intern'!F22+'detaliat intern'!F23</f>
        <v>2.5</v>
      </c>
      <c r="F22" s="8">
        <f>'detaliat intern'!G22+'detaliat intern'!G23</f>
        <v>2.5</v>
      </c>
      <c r="G22" s="8">
        <f>'detaliat intern'!H22+'detaliat intern'!H23</f>
        <v>2.5</v>
      </c>
      <c r="H22" s="8">
        <f>'detaliat intern'!I22+'detaliat intern'!I23</f>
        <v>2.5</v>
      </c>
      <c r="I22" s="8">
        <f>'detaliat intern'!J22+'detaliat intern'!J23</f>
        <v>2.5</v>
      </c>
      <c r="J22" s="8">
        <f>'detaliat intern'!K22+'detaliat intern'!K23</f>
        <v>2.5</v>
      </c>
      <c r="K22" s="8">
        <f>'detaliat intern'!L22+'detaliat intern'!L23</f>
        <v>2.5</v>
      </c>
      <c r="L22" s="8">
        <f>'detaliat intern'!M22+'detaliat intern'!M23</f>
        <v>2.5</v>
      </c>
      <c r="M22" s="138">
        <f>'detaliat intern'!N22+'detaliat intern'!N23</f>
        <v>2.5</v>
      </c>
      <c r="N22" s="169">
        <f>'detaliat intern'!O22+'detaliat intern'!O23</f>
        <v>2.5</v>
      </c>
    </row>
    <row r="23" spans="1:14" s="5" customFormat="1" ht="27">
      <c r="A23" s="142" t="s">
        <v>118</v>
      </c>
      <c r="B23" s="7">
        <f>SUM(C23:N23)</f>
        <v>0</v>
      </c>
      <c r="C23" s="8">
        <f>'detaliat intern'!D35+'detaliat intern'!D36</f>
        <v>0</v>
      </c>
      <c r="D23" s="8">
        <f>'detaliat intern'!E35+'detaliat intern'!E36</f>
        <v>0</v>
      </c>
      <c r="E23" s="8">
        <f>'detaliat intern'!F35+'detaliat intern'!F36</f>
        <v>0</v>
      </c>
      <c r="F23" s="8">
        <f>'detaliat intern'!G35+'detaliat intern'!G36</f>
        <v>0</v>
      </c>
      <c r="G23" s="8">
        <f>'detaliat intern'!H35+'detaliat intern'!H36</f>
        <v>0</v>
      </c>
      <c r="H23" s="8">
        <f>'detaliat intern'!I35+'detaliat intern'!I36</f>
        <v>0</v>
      </c>
      <c r="I23" s="8">
        <f>'detaliat intern'!J35+'detaliat intern'!J36</f>
        <v>0</v>
      </c>
      <c r="J23" s="8">
        <f>'detaliat intern'!K35+'detaliat intern'!K36</f>
        <v>0</v>
      </c>
      <c r="K23" s="8">
        <f>'detaliat intern'!L35+'detaliat intern'!L36</f>
        <v>0</v>
      </c>
      <c r="L23" s="8">
        <f>'detaliat intern'!M35+'detaliat intern'!M36</f>
        <v>0</v>
      </c>
      <c r="M23" s="138">
        <f>'detaliat intern'!N35+'detaliat intern'!N36</f>
        <v>0</v>
      </c>
      <c r="N23" s="169">
        <f>'detaliat intern'!O35+'detaliat intern'!O36</f>
        <v>0</v>
      </c>
    </row>
    <row r="24" spans="1:14" s="5" customFormat="1" ht="28.5">
      <c r="A24" s="189" t="s">
        <v>119</v>
      </c>
      <c r="B24" s="190">
        <f aca="true" t="shared" si="9" ref="B24:M24">B16/B14</f>
        <v>132.28699551569508</v>
      </c>
      <c r="C24" s="190">
        <f t="shared" si="9"/>
        <v>11.023916292974588</v>
      </c>
      <c r="D24" s="190">
        <f t="shared" si="9"/>
        <v>11.023916292974588</v>
      </c>
      <c r="E24" s="190">
        <f t="shared" si="9"/>
        <v>11.023916292974588</v>
      </c>
      <c r="F24" s="190">
        <f t="shared" si="9"/>
        <v>11.023916292974588</v>
      </c>
      <c r="G24" s="190">
        <f t="shared" si="9"/>
        <v>11.023916292974588</v>
      </c>
      <c r="H24" s="190">
        <f t="shared" si="9"/>
        <v>11.023916292974588</v>
      </c>
      <c r="I24" s="190">
        <f>I16/I14</f>
        <v>10.97470238095238</v>
      </c>
      <c r="J24" s="190">
        <f t="shared" si="9"/>
        <v>10.97470238095238</v>
      </c>
      <c r="K24" s="190">
        <f t="shared" si="9"/>
        <v>10.97470238095238</v>
      </c>
      <c r="L24" s="190">
        <f t="shared" si="9"/>
        <v>10.97470238095238</v>
      </c>
      <c r="M24" s="191">
        <f t="shared" si="9"/>
        <v>10.97470238095238</v>
      </c>
      <c r="N24" s="192">
        <f>N16/N14</f>
        <v>10.97470238095238</v>
      </c>
    </row>
    <row r="25" spans="1:14" s="13" customFormat="1" ht="18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146"/>
      <c r="M25" s="146"/>
      <c r="N25" s="146"/>
    </row>
    <row r="26" spans="5:14" s="5" customFormat="1" ht="13.5">
      <c r="E26" s="17"/>
      <c r="F26" s="17"/>
      <c r="N26" s="193" t="s">
        <v>4</v>
      </c>
    </row>
    <row r="27" spans="1:14" s="5" customFormat="1" ht="30.75">
      <c r="A27" s="174" t="s">
        <v>107</v>
      </c>
      <c r="B27" s="175">
        <f>SUM(B30,B31)</f>
        <v>5129.862000000001</v>
      </c>
      <c r="C27" s="176">
        <f aca="true" t="shared" si="10" ref="C27:N27">C30+C31</f>
        <v>88.624</v>
      </c>
      <c r="D27" s="132">
        <f t="shared" si="10"/>
        <v>159.44</v>
      </c>
      <c r="E27" s="132">
        <f t="shared" si="10"/>
        <v>1326.804</v>
      </c>
      <c r="F27" s="177">
        <f t="shared" si="10"/>
        <v>157.70700000000002</v>
      </c>
      <c r="G27" s="177">
        <f t="shared" si="10"/>
        <v>170.33500000000006</v>
      </c>
      <c r="H27" s="133">
        <f t="shared" si="10"/>
        <v>1903.1580000000004</v>
      </c>
      <c r="I27" s="133">
        <f t="shared" si="10"/>
        <v>156.721</v>
      </c>
      <c r="J27" s="133">
        <f t="shared" si="10"/>
        <v>296.07399999999996</v>
      </c>
      <c r="K27" s="133">
        <f t="shared" si="10"/>
        <v>139.71300000000002</v>
      </c>
      <c r="L27" s="133">
        <f>L30+L31</f>
        <v>381.05600000000004</v>
      </c>
      <c r="M27" s="134">
        <f t="shared" si="10"/>
        <v>204.05</v>
      </c>
      <c r="N27" s="178">
        <f t="shared" si="10"/>
        <v>146.18</v>
      </c>
    </row>
    <row r="28" spans="1:14" s="5" customFormat="1" ht="14.25">
      <c r="A28" s="179" t="s">
        <v>120</v>
      </c>
      <c r="B28" s="180"/>
      <c r="C28" s="181"/>
      <c r="D28" s="181"/>
      <c r="E28" s="181"/>
      <c r="F28" s="181"/>
      <c r="G28" s="181"/>
      <c r="H28" s="181">
        <v>1500</v>
      </c>
      <c r="I28" s="182"/>
      <c r="J28" s="181"/>
      <c r="K28" s="181"/>
      <c r="L28" s="181"/>
      <c r="M28" s="183"/>
      <c r="N28" s="184"/>
    </row>
    <row r="29" spans="1:14" s="5" customFormat="1" ht="15">
      <c r="A29" s="137" t="s">
        <v>101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138"/>
      <c r="N29" s="169"/>
    </row>
    <row r="30" spans="1:14" s="5" customFormat="1" ht="13.5">
      <c r="A30" s="139" t="s">
        <v>121</v>
      </c>
      <c r="B30" s="15">
        <f>'detaliat extern'!C5</f>
        <v>4018.6090000000004</v>
      </c>
      <c r="C30" s="15">
        <f>'detaliat extern'!D5</f>
        <v>39.81</v>
      </c>
      <c r="D30" s="15">
        <f>'detaliat extern'!E5</f>
        <v>51.18</v>
      </c>
      <c r="E30" s="15">
        <f>'detaliat extern'!F5</f>
        <v>1255.21</v>
      </c>
      <c r="F30" s="15">
        <f>'detaliat extern'!G5</f>
        <v>46.80900000000001</v>
      </c>
      <c r="G30" s="15">
        <f>'detaliat extern'!H5</f>
        <v>51.618000000000094</v>
      </c>
      <c r="H30" s="15">
        <f>'detaliat extern'!I5</f>
        <v>1776.5250000000003</v>
      </c>
      <c r="I30" s="15">
        <f>'detaliat extern'!J5</f>
        <v>64.43599999999999</v>
      </c>
      <c r="J30" s="15">
        <f>'detaliat extern'!K5</f>
        <v>193.72799999999998</v>
      </c>
      <c r="K30" s="15">
        <f>'detaliat extern'!L5</f>
        <v>84.777</v>
      </c>
      <c r="L30" s="15">
        <f>'detaliat extern'!M5</f>
        <v>217.917</v>
      </c>
      <c r="M30" s="148">
        <f>'detaliat extern'!N5</f>
        <v>141.87800000000001</v>
      </c>
      <c r="N30" s="172">
        <f>'detaliat extern'!O5</f>
        <v>94.721</v>
      </c>
    </row>
    <row r="31" spans="1:14" s="5" customFormat="1" ht="15">
      <c r="A31" s="149" t="s">
        <v>122</v>
      </c>
      <c r="B31" s="15">
        <f>'detaliat extern'!C6</f>
        <v>1111.2530000000002</v>
      </c>
      <c r="C31" s="15">
        <f>'detaliat extern'!D6</f>
        <v>48.814</v>
      </c>
      <c r="D31" s="15">
        <f>'detaliat extern'!E6</f>
        <v>108.26</v>
      </c>
      <c r="E31" s="15">
        <f>'detaliat extern'!F6</f>
        <v>71.594</v>
      </c>
      <c r="F31" s="15">
        <f>'detaliat extern'!G6</f>
        <v>110.89800000000001</v>
      </c>
      <c r="G31" s="15">
        <f>'detaliat extern'!H6</f>
        <v>118.71699999999997</v>
      </c>
      <c r="H31" s="15">
        <f>'detaliat extern'!I6</f>
        <v>126.63300000000005</v>
      </c>
      <c r="I31" s="15">
        <f>'detaliat extern'!J6</f>
        <v>92.285</v>
      </c>
      <c r="J31" s="15">
        <f>'detaliat extern'!K6</f>
        <v>102.346</v>
      </c>
      <c r="K31" s="15">
        <f>'detaliat extern'!L6</f>
        <v>54.93600000000001</v>
      </c>
      <c r="L31" s="15">
        <f>'detaliat extern'!M6</f>
        <v>163.139</v>
      </c>
      <c r="M31" s="148">
        <f>'detaliat extern'!N6</f>
        <v>62.17199999999999</v>
      </c>
      <c r="N31" s="172">
        <f>'detaliat extern'!O6</f>
        <v>51.459</v>
      </c>
    </row>
    <row r="32" spans="1:14" s="5" customFormat="1" ht="15">
      <c r="A32" s="137" t="s">
        <v>101</v>
      </c>
      <c r="B32" s="21"/>
      <c r="C32" s="8"/>
      <c r="D32" s="8"/>
      <c r="E32" s="8"/>
      <c r="F32" s="8"/>
      <c r="G32" s="8"/>
      <c r="H32" s="8"/>
      <c r="I32" s="8"/>
      <c r="J32" s="8"/>
      <c r="K32" s="8"/>
      <c r="L32" s="8"/>
      <c r="M32" s="138"/>
      <c r="N32" s="169"/>
    </row>
    <row r="33" spans="1:14" s="5" customFormat="1" ht="27">
      <c r="A33" s="142" t="s">
        <v>123</v>
      </c>
      <c r="B33" s="8">
        <f>'detaliat extern'!C8</f>
        <v>5046.644</v>
      </c>
      <c r="C33" s="8">
        <f>'detaliat extern'!D8</f>
        <v>80.096</v>
      </c>
      <c r="D33" s="8">
        <f>'detaliat extern'!E8</f>
        <v>157.31799999999998</v>
      </c>
      <c r="E33" s="8">
        <f>'detaliat extern'!F8</f>
        <v>1319.123</v>
      </c>
      <c r="F33" s="8">
        <f>'detaliat extern'!G8</f>
        <v>156.44600000000003</v>
      </c>
      <c r="G33" s="8">
        <f>'detaliat extern'!H8</f>
        <v>165.80900000000008</v>
      </c>
      <c r="H33" s="8">
        <f>'detaliat extern'!I8</f>
        <v>1884.7380000000003</v>
      </c>
      <c r="I33" s="8">
        <f>'detaliat extern'!J8</f>
        <v>148.06199999999998</v>
      </c>
      <c r="J33" s="8">
        <f>'detaliat extern'!K8</f>
        <v>293.954</v>
      </c>
      <c r="K33" s="8">
        <f>'detaliat extern'!L8</f>
        <v>132.156</v>
      </c>
      <c r="L33" s="8">
        <f>'detaliat extern'!M8</f>
        <v>381.05600000000004</v>
      </c>
      <c r="M33" s="138">
        <f>'detaliat extern'!N8</f>
        <v>199.507</v>
      </c>
      <c r="N33" s="169">
        <f>'detaliat extern'!O8</f>
        <v>128.37900000000002</v>
      </c>
    </row>
    <row r="34" spans="1:14" s="5" customFormat="1" ht="27">
      <c r="A34" s="143" t="s">
        <v>124</v>
      </c>
      <c r="B34" s="157">
        <f>'detaliat extern'!C12</f>
        <v>83.21799999999999</v>
      </c>
      <c r="C34" s="157">
        <f>'detaliat extern'!D12</f>
        <v>8.528</v>
      </c>
      <c r="D34" s="157">
        <f>'detaliat extern'!E12</f>
        <v>2.122</v>
      </c>
      <c r="E34" s="157">
        <f>'detaliat extern'!F12</f>
        <v>7.680999999999999</v>
      </c>
      <c r="F34" s="157">
        <f>'detaliat extern'!G12</f>
        <v>1.261</v>
      </c>
      <c r="G34" s="157">
        <f>'detaliat extern'!H12</f>
        <v>4.526</v>
      </c>
      <c r="H34" s="157">
        <f>'detaliat extern'!I12</f>
        <v>18.42</v>
      </c>
      <c r="I34" s="157">
        <f>'detaliat extern'!J12</f>
        <v>8.658999999999999</v>
      </c>
      <c r="J34" s="157">
        <f>'detaliat extern'!K12</f>
        <v>2.12</v>
      </c>
      <c r="K34" s="157">
        <f>'detaliat extern'!L12</f>
        <v>7.5569999999999995</v>
      </c>
      <c r="L34" s="157">
        <f>'detaliat extern'!M12</f>
        <v>0</v>
      </c>
      <c r="M34" s="145">
        <f>'detaliat extern'!N12</f>
        <v>4.543</v>
      </c>
      <c r="N34" s="171">
        <f>'detaliat extern'!O12</f>
        <v>17.801</v>
      </c>
    </row>
    <row r="35" spans="1:14" s="5" customFormat="1" ht="12.75" customHeight="1">
      <c r="A35" s="13"/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21" customHeight="1">
      <c r="A36" s="122" t="s">
        <v>126</v>
      </c>
      <c r="B36" s="127"/>
      <c r="C36" s="127"/>
      <c r="D36" s="127"/>
      <c r="E36" s="127"/>
      <c r="F36" s="127"/>
      <c r="G36" s="127"/>
      <c r="H36" s="127"/>
      <c r="I36" s="127"/>
      <c r="J36" s="1"/>
      <c r="K36" s="1"/>
      <c r="L36" s="1"/>
      <c r="M36" s="1"/>
      <c r="N36" s="1"/>
    </row>
    <row r="37" spans="1:4" ht="12.75">
      <c r="A37" s="114"/>
      <c r="B37" s="36"/>
      <c r="C37" s="36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 t="s">
        <v>9</v>
      </c>
      <c r="M67" s="25"/>
      <c r="N67" s="25"/>
    </row>
    <row r="68" spans="1:14" ht="25.5" customHeight="1">
      <c r="A68" s="299" t="s">
        <v>10</v>
      </c>
      <c r="B68" s="299"/>
      <c r="C68" s="27" t="s">
        <v>11</v>
      </c>
      <c r="D68" s="28" t="s">
        <v>12</v>
      </c>
      <c r="E68" s="27" t="s">
        <v>13</v>
      </c>
      <c r="F68" s="27" t="s">
        <v>14</v>
      </c>
      <c r="G68" s="27" t="s">
        <v>15</v>
      </c>
      <c r="H68" s="27" t="s">
        <v>16</v>
      </c>
      <c r="I68" s="29" t="s">
        <v>17</v>
      </c>
      <c r="J68" s="29" t="s">
        <v>18</v>
      </c>
      <c r="K68" s="27" t="s">
        <v>19</v>
      </c>
      <c r="L68" s="27" t="s">
        <v>20</v>
      </c>
      <c r="M68" s="30" t="s">
        <v>21</v>
      </c>
      <c r="N68" s="30" t="s">
        <v>22</v>
      </c>
    </row>
    <row r="69" spans="1:14" ht="12.75" customHeight="1">
      <c r="A69" s="297" t="s">
        <v>23</v>
      </c>
      <c r="B69" s="297"/>
      <c r="C69" s="31">
        <f>999.99+799.97+2541.35</f>
        <v>4341.3099999999995</v>
      </c>
      <c r="D69" s="25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2.75" customHeight="1">
      <c r="A70" s="297" t="s">
        <v>24</v>
      </c>
      <c r="B70" s="297"/>
      <c r="C70" s="31"/>
      <c r="D70" s="25"/>
      <c r="E70" s="31">
        <f>599.96+1298.62</f>
        <v>1898.58</v>
      </c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2.75" customHeight="1">
      <c r="A71" s="297" t="s">
        <v>25</v>
      </c>
      <c r="B71" s="297"/>
      <c r="C71" s="31"/>
      <c r="D71" s="25"/>
      <c r="E71" s="31">
        <v>2113.5</v>
      </c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2.75" customHeight="1">
      <c r="A72" s="297" t="s">
        <v>26</v>
      </c>
      <c r="B72" s="297"/>
      <c r="C72" s="31"/>
      <c r="D72" s="25"/>
      <c r="E72" s="31"/>
      <c r="F72" s="31">
        <f>1754.44+2289.39</f>
        <v>4043.83</v>
      </c>
      <c r="G72" s="31"/>
      <c r="H72" s="31"/>
      <c r="I72" s="31"/>
      <c r="J72" s="31"/>
      <c r="K72" s="31"/>
      <c r="L72" s="31"/>
      <c r="M72" s="31"/>
      <c r="N72" s="31"/>
    </row>
    <row r="73" spans="1:14" ht="12.75" customHeight="1">
      <c r="A73" s="297" t="s">
        <v>27</v>
      </c>
      <c r="B73" s="297"/>
      <c r="C73" s="31"/>
      <c r="D73" s="32">
        <v>1499.97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2.75" customHeight="1">
      <c r="A74" s="297" t="s">
        <v>28</v>
      </c>
      <c r="B74" s="297"/>
      <c r="C74" s="31"/>
      <c r="D74" s="32">
        <v>959.007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2.75" customHeight="1">
      <c r="A75" s="297" t="s">
        <v>29</v>
      </c>
      <c r="B75" s="297"/>
      <c r="C75" s="31"/>
      <c r="D75" s="25"/>
      <c r="E75" s="31"/>
      <c r="F75" s="31">
        <v>297.5</v>
      </c>
      <c r="G75" s="31"/>
      <c r="H75" s="31"/>
      <c r="I75" s="31"/>
      <c r="J75" s="31"/>
      <c r="K75" s="31"/>
      <c r="L75" s="31"/>
      <c r="M75" s="31"/>
      <c r="N75" s="31"/>
    </row>
    <row r="76" spans="1:14" ht="12.75" customHeight="1">
      <c r="A76" s="297" t="s">
        <v>30</v>
      </c>
      <c r="B76" s="297"/>
      <c r="C76" s="31"/>
      <c r="D76" s="25"/>
      <c r="E76" s="31"/>
      <c r="F76" s="31">
        <v>50</v>
      </c>
      <c r="G76" s="31"/>
      <c r="H76" s="31"/>
      <c r="I76" s="31"/>
      <c r="J76" s="31"/>
      <c r="K76" s="31"/>
      <c r="L76" s="31"/>
      <c r="M76" s="31"/>
      <c r="N76" s="31"/>
    </row>
    <row r="77" spans="1:14" ht="12.75" customHeight="1">
      <c r="A77" s="297" t="s">
        <v>31</v>
      </c>
      <c r="B77" s="297"/>
      <c r="C77" s="31"/>
      <c r="D77" s="25"/>
      <c r="E77" s="31"/>
      <c r="F77" s="31"/>
      <c r="G77" s="31">
        <f>1641.3+999.96</f>
        <v>2641.26</v>
      </c>
      <c r="H77" s="31"/>
      <c r="I77" s="31"/>
      <c r="J77" s="31"/>
      <c r="K77" s="31"/>
      <c r="L77" s="31"/>
      <c r="M77" s="31"/>
      <c r="N77" s="31"/>
    </row>
    <row r="78" spans="1:14" ht="12.75" customHeight="1">
      <c r="A78" s="297" t="s">
        <v>32</v>
      </c>
      <c r="B78" s="297"/>
      <c r="C78" s="31"/>
      <c r="D78" s="25"/>
      <c r="E78" s="31"/>
      <c r="F78" s="31"/>
      <c r="G78" s="31">
        <v>1388.41</v>
      </c>
      <c r="H78" s="31"/>
      <c r="I78" s="31"/>
      <c r="J78" s="31"/>
      <c r="K78" s="31"/>
      <c r="L78" s="31"/>
      <c r="M78" s="31"/>
      <c r="N78" s="31"/>
    </row>
    <row r="79" spans="1:14" s="33" customFormat="1" ht="12.75" customHeight="1">
      <c r="A79" s="297" t="s">
        <v>33</v>
      </c>
      <c r="B79" s="297"/>
      <c r="C79" s="297"/>
      <c r="D79" s="25"/>
      <c r="E79" s="31"/>
      <c r="F79" s="31"/>
      <c r="G79" s="31">
        <f>700*4.26</f>
        <v>2982</v>
      </c>
      <c r="H79" s="31"/>
      <c r="I79" s="31"/>
      <c r="J79" s="31"/>
      <c r="K79" s="31"/>
      <c r="L79" s="31"/>
      <c r="M79" s="31"/>
      <c r="N79" s="31"/>
    </row>
    <row r="80" spans="1:14" ht="12.75" customHeight="1">
      <c r="A80" s="297" t="s">
        <v>34</v>
      </c>
      <c r="B80" s="297"/>
      <c r="C80" s="297"/>
      <c r="D80" s="25"/>
      <c r="E80" s="31"/>
      <c r="F80" s="31"/>
      <c r="G80" s="31"/>
      <c r="H80" s="31">
        <f>1199.94+1399.9+657.15</f>
        <v>3256.9900000000002</v>
      </c>
      <c r="I80" s="31"/>
      <c r="J80" s="31"/>
      <c r="K80" s="31"/>
      <c r="L80" s="31"/>
      <c r="M80" s="31"/>
      <c r="N80" s="31"/>
    </row>
    <row r="81" spans="1:14" ht="12.75" customHeight="1">
      <c r="A81" s="297" t="s">
        <v>35</v>
      </c>
      <c r="B81" s="297"/>
      <c r="C81" s="297"/>
      <c r="D81" s="25"/>
      <c r="E81" s="31"/>
      <c r="F81" s="31"/>
      <c r="G81" s="31"/>
      <c r="H81" s="31">
        <v>18.3</v>
      </c>
      <c r="I81" s="31">
        <f>849.99+900+899.92+1065.6</f>
        <v>3715.5099999999998</v>
      </c>
      <c r="J81" s="31"/>
      <c r="K81" s="31"/>
      <c r="L81" s="31"/>
      <c r="M81" s="31"/>
      <c r="N81" s="31"/>
    </row>
    <row r="82" spans="1:14" ht="12.75" customHeight="1">
      <c r="A82" s="297" t="s">
        <v>36</v>
      </c>
      <c r="B82" s="297"/>
      <c r="C82" s="297"/>
      <c r="D82" s="25"/>
      <c r="E82" s="31"/>
      <c r="F82" s="31"/>
      <c r="G82" s="31"/>
      <c r="H82" s="31"/>
      <c r="I82" s="31"/>
      <c r="J82" s="31"/>
      <c r="K82" s="31">
        <f>999.95+1199.96+116.8+735.67</f>
        <v>3052.38</v>
      </c>
      <c r="L82" s="31"/>
      <c r="M82" s="31"/>
      <c r="N82" s="31"/>
    </row>
    <row r="83" spans="1:14" ht="12.75" customHeight="1">
      <c r="A83" s="297" t="s">
        <v>37</v>
      </c>
      <c r="B83" s="297"/>
      <c r="C83" s="297"/>
      <c r="D83" s="25"/>
      <c r="E83" s="31"/>
      <c r="F83" s="31"/>
      <c r="G83" s="31"/>
      <c r="H83" s="31"/>
      <c r="I83" s="31"/>
      <c r="J83" s="31">
        <f>699.96+699.985+502.3</f>
        <v>1902.2450000000001</v>
      </c>
      <c r="K83" s="31"/>
      <c r="L83" s="31"/>
      <c r="M83" s="31"/>
      <c r="N83" s="31"/>
    </row>
    <row r="84" spans="1:14" ht="12.75" customHeight="1">
      <c r="A84" s="297" t="s">
        <v>38</v>
      </c>
      <c r="B84" s="297"/>
      <c r="C84" s="297"/>
      <c r="D84" s="25"/>
      <c r="E84" s="31"/>
      <c r="F84" s="31"/>
      <c r="G84" s="31"/>
      <c r="H84" s="31"/>
      <c r="I84" s="31"/>
      <c r="J84" s="31"/>
      <c r="K84" s="31"/>
      <c r="L84" s="31">
        <v>4474.3</v>
      </c>
      <c r="M84" s="31"/>
      <c r="N84" s="31"/>
    </row>
    <row r="85" spans="1:14" ht="12.75" customHeight="1">
      <c r="A85" s="297" t="s">
        <v>39</v>
      </c>
      <c r="B85" s="297"/>
      <c r="C85" s="297"/>
      <c r="D85" s="25"/>
      <c r="E85" s="31"/>
      <c r="F85" s="31"/>
      <c r="G85" s="31"/>
      <c r="H85" s="31"/>
      <c r="I85" s="31"/>
      <c r="J85" s="31"/>
      <c r="K85" s="31"/>
      <c r="L85" s="31"/>
      <c r="M85" s="31">
        <f>793.8*4.18</f>
        <v>3318.0839999999994</v>
      </c>
      <c r="N85" s="31"/>
    </row>
    <row r="86" spans="1:14" ht="12.75" customHeight="1">
      <c r="A86" s="301" t="s">
        <v>40</v>
      </c>
      <c r="B86" s="301"/>
      <c r="C86" s="301"/>
      <c r="D86" s="25"/>
      <c r="E86" s="31"/>
      <c r="F86" s="31"/>
      <c r="G86" s="31"/>
      <c r="H86" s="31"/>
      <c r="I86" s="31"/>
      <c r="J86" s="31"/>
      <c r="K86" s="31"/>
      <c r="L86" s="31"/>
      <c r="M86" s="31">
        <v>999.954</v>
      </c>
      <c r="N86" s="31"/>
    </row>
    <row r="87" spans="1:14" ht="12.75" customHeight="1">
      <c r="A87" s="301" t="s">
        <v>41</v>
      </c>
      <c r="B87" s="301"/>
      <c r="C87" s="301"/>
      <c r="D87" s="25"/>
      <c r="E87" s="31"/>
      <c r="F87" s="31"/>
      <c r="G87" s="31"/>
      <c r="H87" s="31"/>
      <c r="I87" s="31"/>
      <c r="J87" s="31"/>
      <c r="K87" s="31"/>
      <c r="L87" s="31"/>
      <c r="M87" s="31">
        <v>249.066</v>
      </c>
      <c r="N87" s="31"/>
    </row>
    <row r="88" spans="1:14" ht="12.75" customHeight="1">
      <c r="A88" s="301" t="s">
        <v>42</v>
      </c>
      <c r="B88" s="301"/>
      <c r="C88" s="301"/>
      <c r="D88" s="25"/>
      <c r="E88" s="31"/>
      <c r="F88" s="31"/>
      <c r="G88" s="31"/>
      <c r="H88" s="31"/>
      <c r="I88" s="31"/>
      <c r="J88" s="31"/>
      <c r="K88" s="31"/>
      <c r="L88" s="31"/>
      <c r="M88" s="31">
        <v>1426.8</v>
      </c>
      <c r="N88" s="31"/>
    </row>
    <row r="89" spans="1:14" ht="12.75" customHeight="1">
      <c r="A89" s="301" t="s">
        <v>43</v>
      </c>
      <c r="B89" s="301"/>
      <c r="C89" s="301"/>
      <c r="D89" s="25"/>
      <c r="E89" s="31"/>
      <c r="F89" s="31"/>
      <c r="G89" s="31"/>
      <c r="H89" s="31"/>
      <c r="I89" s="31"/>
      <c r="J89" s="31"/>
      <c r="K89" s="31"/>
      <c r="L89" s="31"/>
      <c r="M89" s="31"/>
      <c r="N89" s="31">
        <v>1713.4</v>
      </c>
    </row>
    <row r="90" spans="1:14" s="36" customFormat="1" ht="12.75" customHeight="1">
      <c r="A90" s="300"/>
      <c r="B90" s="300"/>
      <c r="C90" s="34">
        <f>SUM(C69:C85)</f>
        <v>4341.3099999999995</v>
      </c>
      <c r="D90" s="35">
        <f>SUM(D73:D89)</f>
        <v>2458.977</v>
      </c>
      <c r="E90" s="34">
        <f aca="true" t="shared" si="11" ref="E90:L90">SUM(E70:E85)</f>
        <v>4012.08</v>
      </c>
      <c r="F90" s="34">
        <f t="shared" si="11"/>
        <v>4391.33</v>
      </c>
      <c r="G90" s="34">
        <f t="shared" si="11"/>
        <v>7011.67</v>
      </c>
      <c r="H90" s="34">
        <f t="shared" si="11"/>
        <v>3275.2900000000004</v>
      </c>
      <c r="I90" s="34">
        <f t="shared" si="11"/>
        <v>3715.5099999999998</v>
      </c>
      <c r="J90" s="34">
        <f t="shared" si="11"/>
        <v>1902.2450000000001</v>
      </c>
      <c r="K90" s="34">
        <f t="shared" si="11"/>
        <v>3052.38</v>
      </c>
      <c r="L90" s="34">
        <f t="shared" si="11"/>
        <v>4474.3</v>
      </c>
      <c r="M90" s="34">
        <f>SUM(M85:M88)</f>
        <v>5993.9039999999995</v>
      </c>
      <c r="N90" s="34">
        <f>SUM(N70:N89)</f>
        <v>1713.4</v>
      </c>
    </row>
    <row r="91" spans="1:14" ht="44.25" customHeight="1">
      <c r="A91" s="27" t="s">
        <v>44</v>
      </c>
      <c r="B91" s="25"/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2">
        <v>0</v>
      </c>
      <c r="I91" s="32">
        <f>'[1]2012'!$H$37</f>
        <v>2649.9</v>
      </c>
      <c r="J91" s="32">
        <f>'[1]2012'!$I$37</f>
        <v>1399.949</v>
      </c>
      <c r="K91" s="32">
        <f>'[1]2012'!$J$37</f>
        <v>3052.4</v>
      </c>
      <c r="L91" s="32">
        <f>'[1]2012'!$K$37</f>
        <v>0</v>
      </c>
      <c r="M91" s="32">
        <f>'[1]2012'!$L$37</f>
        <v>2675.816</v>
      </c>
      <c r="N91" s="32">
        <f>'[1]2012'!$M$37</f>
        <v>1713.4</v>
      </c>
    </row>
    <row r="92" spans="1:14" s="36" customFormat="1" ht="12.75" customHeight="1">
      <c r="A92" s="299" t="s">
        <v>45</v>
      </c>
      <c r="B92" s="299"/>
      <c r="C92" s="34">
        <f aca="true" t="shared" si="12" ref="C92:N92">C91+C90</f>
        <v>4341.3099999999995</v>
      </c>
      <c r="D92" s="34">
        <f t="shared" si="12"/>
        <v>2458.977</v>
      </c>
      <c r="E92" s="34">
        <f t="shared" si="12"/>
        <v>4012.08</v>
      </c>
      <c r="F92" s="34">
        <f t="shared" si="12"/>
        <v>4391.33</v>
      </c>
      <c r="G92" s="34">
        <f t="shared" si="12"/>
        <v>7011.67</v>
      </c>
      <c r="H92" s="34">
        <f t="shared" si="12"/>
        <v>3275.2900000000004</v>
      </c>
      <c r="I92" s="34">
        <f t="shared" si="12"/>
        <v>6365.41</v>
      </c>
      <c r="J92" s="34">
        <f t="shared" si="12"/>
        <v>3302.1940000000004</v>
      </c>
      <c r="K92" s="34">
        <f t="shared" si="12"/>
        <v>6104.780000000001</v>
      </c>
      <c r="L92" s="34">
        <f t="shared" si="12"/>
        <v>4474.3</v>
      </c>
      <c r="M92" s="34">
        <f t="shared" si="12"/>
        <v>8669.72</v>
      </c>
      <c r="N92" s="34">
        <f t="shared" si="12"/>
        <v>3426.8</v>
      </c>
    </row>
    <row r="93" spans="1:14" ht="30.75" customHeight="1">
      <c r="A93" s="301" t="s">
        <v>46</v>
      </c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M17" sqref="M17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6.7109375" style="0" customWidth="1"/>
    <col min="4" max="4" width="17.7109375" style="0" customWidth="1"/>
    <col min="5" max="5" width="17.421875" style="0" customWidth="1"/>
    <col min="6" max="6" width="17.28125" style="0" customWidth="1"/>
  </cols>
  <sheetData>
    <row r="1" spans="2:6" ht="22.5" customHeight="1">
      <c r="B1" s="303" t="s">
        <v>134</v>
      </c>
      <c r="C1" s="303"/>
      <c r="D1" s="303"/>
      <c r="E1" s="303"/>
      <c r="F1" s="303"/>
    </row>
    <row r="2" spans="1:6" ht="15.75" thickBot="1">
      <c r="A2" s="118"/>
      <c r="F2" s="120" t="s">
        <v>9</v>
      </c>
    </row>
    <row r="3" spans="1:6" s="5" customFormat="1" ht="45.75" customHeight="1" thickBot="1">
      <c r="A3" s="204" t="s">
        <v>98</v>
      </c>
      <c r="B3" s="205" t="s">
        <v>149</v>
      </c>
      <c r="C3" s="246" t="s">
        <v>154</v>
      </c>
      <c r="D3" s="246" t="s">
        <v>155</v>
      </c>
      <c r="E3" s="246" t="s">
        <v>152</v>
      </c>
      <c r="F3" s="247" t="s">
        <v>99</v>
      </c>
    </row>
    <row r="4" spans="1:6" s="5" customFormat="1" ht="30.75">
      <c r="A4" s="245" t="s">
        <v>100</v>
      </c>
      <c r="B4" s="202">
        <v>55271.210257127575</v>
      </c>
      <c r="C4" s="203">
        <v>20691.1962</v>
      </c>
      <c r="D4" s="203">
        <v>16123.337000000003</v>
      </c>
      <c r="E4" s="203">
        <v>5760.136332488435</v>
      </c>
      <c r="F4" s="125">
        <v>12696.540724639137</v>
      </c>
    </row>
    <row r="5" spans="1:6" s="5" customFormat="1" ht="23.25" customHeight="1">
      <c r="A5" s="244" t="s">
        <v>101</v>
      </c>
      <c r="B5" s="199"/>
      <c r="C5" s="200"/>
      <c r="D5" s="200"/>
      <c r="E5" s="200"/>
      <c r="F5" s="233"/>
    </row>
    <row r="6" spans="1:7" s="5" customFormat="1" ht="23.25" customHeight="1">
      <c r="A6" s="232" t="s">
        <v>102</v>
      </c>
      <c r="B6" s="199">
        <v>43521.76465374029</v>
      </c>
      <c r="C6" s="200">
        <v>18055.25</v>
      </c>
      <c r="D6" s="200">
        <v>11683.973800000002</v>
      </c>
      <c r="E6" s="200">
        <v>3671.6718627676196</v>
      </c>
      <c r="F6" s="233">
        <v>10110.86899097267</v>
      </c>
      <c r="G6" s="123"/>
    </row>
    <row r="7" spans="1:6" s="5" customFormat="1" ht="21" customHeight="1" thickBot="1">
      <c r="A7" s="234" t="s">
        <v>103</v>
      </c>
      <c r="B7" s="217">
        <v>11749.445603387281</v>
      </c>
      <c r="C7" s="218">
        <v>2635.9462</v>
      </c>
      <c r="D7" s="218">
        <v>4439.363200000001</v>
      </c>
      <c r="E7" s="218">
        <v>2088.464469720815</v>
      </c>
      <c r="F7" s="235">
        <v>2585.671733666467</v>
      </c>
    </row>
    <row r="8" spans="1:6" s="5" customFormat="1" ht="31.5" thickBot="1">
      <c r="A8" s="210" t="s">
        <v>104</v>
      </c>
      <c r="B8" s="211">
        <v>31417.35195712757</v>
      </c>
      <c r="C8" s="211">
        <v>13368.06</v>
      </c>
      <c r="D8" s="211">
        <v>5748.2570000000005</v>
      </c>
      <c r="E8" s="211">
        <v>3004.9741324884344</v>
      </c>
      <c r="F8" s="222">
        <v>9296.060824639137</v>
      </c>
    </row>
    <row r="9" spans="1:6" s="5" customFormat="1" ht="15">
      <c r="A9" s="230" t="s">
        <v>101</v>
      </c>
      <c r="B9" s="208"/>
      <c r="C9" s="209"/>
      <c r="D9" s="209"/>
      <c r="E9" s="209"/>
      <c r="F9" s="231"/>
    </row>
    <row r="10" spans="1:6" s="5" customFormat="1" ht="20.25" customHeight="1">
      <c r="A10" s="236" t="s">
        <v>105</v>
      </c>
      <c r="B10" s="199">
        <v>24835.23280374029</v>
      </c>
      <c r="C10" s="200">
        <v>11795.42</v>
      </c>
      <c r="D10" s="200">
        <v>2965.447</v>
      </c>
      <c r="E10" s="200">
        <v>2076.9962127676195</v>
      </c>
      <c r="F10" s="233">
        <v>7997.36959097267</v>
      </c>
    </row>
    <row r="11" spans="1:6" s="5" customFormat="1" ht="21" customHeight="1" thickBot="1">
      <c r="A11" s="237" t="s">
        <v>106</v>
      </c>
      <c r="B11" s="217">
        <v>6582.1191533872825</v>
      </c>
      <c r="C11" s="218">
        <v>1572.6399999999999</v>
      </c>
      <c r="D11" s="218">
        <v>2782.8100000000004</v>
      </c>
      <c r="E11" s="218">
        <v>927.9779197208147</v>
      </c>
      <c r="F11" s="235">
        <v>1298.6912336664668</v>
      </c>
    </row>
    <row r="12" spans="1:6" s="5" customFormat="1" ht="31.5" thickBot="1">
      <c r="A12" s="223" t="s">
        <v>107</v>
      </c>
      <c r="B12" s="228">
        <v>23853.8583</v>
      </c>
      <c r="C12" s="228">
        <v>7323.1362</v>
      </c>
      <c r="D12" s="228">
        <v>10375.080000000002</v>
      </c>
      <c r="E12" s="228">
        <v>2755.1622000000007</v>
      </c>
      <c r="F12" s="229">
        <v>3400.4799000000003</v>
      </c>
    </row>
    <row r="13" spans="1:6" s="5" customFormat="1" ht="15">
      <c r="A13" s="230" t="s">
        <v>101</v>
      </c>
      <c r="B13" s="208"/>
      <c r="C13" s="209"/>
      <c r="D13" s="209"/>
      <c r="E13" s="209"/>
      <c r="F13" s="231"/>
    </row>
    <row r="14" spans="1:6" s="5" customFormat="1" ht="19.5" customHeight="1">
      <c r="A14" s="236" t="s">
        <v>108</v>
      </c>
      <c r="B14" s="199">
        <v>18686.531850000003</v>
      </c>
      <c r="C14" s="200">
        <v>6259.83</v>
      </c>
      <c r="D14" s="200">
        <v>8718.526800000001</v>
      </c>
      <c r="E14" s="200">
        <v>1594.6756500000001</v>
      </c>
      <c r="F14" s="233">
        <v>2113.4994</v>
      </c>
    </row>
    <row r="15" spans="1:6" s="5" customFormat="1" ht="22.5" customHeight="1" thickBot="1">
      <c r="A15" s="238" t="s">
        <v>106</v>
      </c>
      <c r="B15" s="240">
        <v>5167.326450000001</v>
      </c>
      <c r="C15" s="241">
        <v>1063.3062</v>
      </c>
      <c r="D15" s="241">
        <v>1656.5532000000003</v>
      </c>
      <c r="E15" s="241">
        <v>1160.4865500000003</v>
      </c>
      <c r="F15" s="242">
        <v>1286.9805000000003</v>
      </c>
    </row>
    <row r="16" spans="1:6" s="121" customFormat="1" ht="42" customHeight="1">
      <c r="A16" s="304" t="s">
        <v>165</v>
      </c>
      <c r="B16" s="304"/>
      <c r="C16" s="304"/>
      <c r="D16" s="304"/>
      <c r="E16" s="304"/>
      <c r="F16" s="304"/>
    </row>
  </sheetData>
  <sheetProtection/>
  <mergeCells count="2">
    <mergeCell ref="B1:F1"/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Normal="75" workbookViewId="0" topLeftCell="A1">
      <selection activeCell="A17" sqref="A17"/>
    </sheetView>
  </sheetViews>
  <sheetFormatPr defaultColWidth="9.140625" defaultRowHeight="12.75"/>
  <cols>
    <col min="1" max="1" width="49.57421875" style="0" customWidth="1"/>
    <col min="2" max="2" width="15.421875" style="0" hidden="1" customWidth="1"/>
    <col min="3" max="3" width="14.7109375" style="0" hidden="1" customWidth="1"/>
    <col min="4" max="4" width="18.140625" style="0" hidden="1" customWidth="1"/>
    <col min="5" max="5" width="17.00390625" style="0" hidden="1" customWidth="1"/>
    <col min="6" max="6" width="16.28125" style="0" hidden="1" customWidth="1"/>
    <col min="7" max="7" width="18.140625" style="0" customWidth="1"/>
    <col min="8" max="8" width="19.57421875" style="0" customWidth="1"/>
    <col min="9" max="9" width="19.7109375" style="0" customWidth="1"/>
    <col min="10" max="10" width="18.421875" style="0" customWidth="1"/>
    <col min="11" max="11" width="19.00390625" style="0" customWidth="1"/>
  </cols>
  <sheetData>
    <row r="1" spans="2:9" ht="45.75" customHeight="1">
      <c r="B1" s="303" t="s">
        <v>135</v>
      </c>
      <c r="C1" s="305"/>
      <c r="D1" s="305"/>
      <c r="E1" s="305"/>
      <c r="F1" s="305"/>
      <c r="G1" s="305"/>
      <c r="H1" s="305"/>
      <c r="I1" s="305"/>
    </row>
    <row r="2" spans="1:11" ht="48" customHeight="1" thickBot="1">
      <c r="A2" s="118"/>
      <c r="B2" s="118"/>
      <c r="C2" s="119"/>
      <c r="D2" s="118"/>
      <c r="E2" s="118"/>
      <c r="F2" s="120"/>
      <c r="K2" s="120" t="s">
        <v>9</v>
      </c>
    </row>
    <row r="3" spans="1:11" s="5" customFormat="1" ht="45.75" customHeight="1" thickBot="1">
      <c r="A3" s="204" t="s">
        <v>1</v>
      </c>
      <c r="B3" s="205" t="s">
        <v>156</v>
      </c>
      <c r="C3" s="246" t="s">
        <v>90</v>
      </c>
      <c r="D3" s="246" t="s">
        <v>157</v>
      </c>
      <c r="E3" s="246" t="s">
        <v>91</v>
      </c>
      <c r="F3" s="246" t="s">
        <v>92</v>
      </c>
      <c r="G3" s="205" t="s">
        <v>149</v>
      </c>
      <c r="H3" s="248" t="s">
        <v>162</v>
      </c>
      <c r="I3" s="248" t="s">
        <v>150</v>
      </c>
      <c r="J3" s="248" t="s">
        <v>151</v>
      </c>
      <c r="K3" s="249" t="s">
        <v>93</v>
      </c>
    </row>
    <row r="4" spans="1:11" s="5" customFormat="1" ht="38.25" customHeight="1" thickBot="1">
      <c r="A4" s="210" t="s">
        <v>94</v>
      </c>
      <c r="B4" s="211" t="e">
        <f>SUM(B6,B7)</f>
        <v>#REF!</v>
      </c>
      <c r="C4" s="212" t="e">
        <f>SUM(C6,C7)</f>
        <v>#REF!</v>
      </c>
      <c r="D4" s="213" t="e">
        <f>SUM(D6,D7)</f>
        <v>#REF!</v>
      </c>
      <c r="E4" s="213" t="e">
        <f>SUM(E6,E7)</f>
        <v>#REF!</v>
      </c>
      <c r="F4" s="213" t="e">
        <f>SUM(F6,F7)</f>
        <v>#REF!</v>
      </c>
      <c r="G4" s="213">
        <f>H4+I4+J4+K4</f>
        <v>55271.210257127575</v>
      </c>
      <c r="H4" s="213">
        <f>H8+H12</f>
        <v>20691.1962</v>
      </c>
      <c r="I4" s="213">
        <f>I8+I12</f>
        <v>16123.337000000003</v>
      </c>
      <c r="J4" s="213">
        <f>J8+J12</f>
        <v>5760.136332488435</v>
      </c>
      <c r="K4" s="214">
        <f>K8+K12</f>
        <v>12696.540724639137</v>
      </c>
    </row>
    <row r="5" spans="1:11" s="5" customFormat="1" ht="23.25" customHeight="1">
      <c r="A5" s="230" t="s">
        <v>3</v>
      </c>
      <c r="B5" s="206"/>
      <c r="C5" s="207"/>
      <c r="D5" s="207"/>
      <c r="E5" s="207"/>
      <c r="F5" s="207"/>
      <c r="G5" s="208"/>
      <c r="H5" s="209"/>
      <c r="I5" s="209"/>
      <c r="J5" s="209"/>
      <c r="K5" s="231"/>
    </row>
    <row r="6" spans="1:11" s="5" customFormat="1" ht="23.25" customHeight="1">
      <c r="A6" s="232" t="s">
        <v>95</v>
      </c>
      <c r="B6" s="197" t="e">
        <f aca="true" t="shared" si="0" ref="B6:F7">B10+B14</f>
        <v>#REF!</v>
      </c>
      <c r="C6" s="198" t="e">
        <f t="shared" si="0"/>
        <v>#REF!</v>
      </c>
      <c r="D6" s="198" t="e">
        <f t="shared" si="0"/>
        <v>#REF!</v>
      </c>
      <c r="E6" s="198" t="e">
        <f t="shared" si="0"/>
        <v>#REF!</v>
      </c>
      <c r="F6" s="198" t="e">
        <f t="shared" si="0"/>
        <v>#REF!</v>
      </c>
      <c r="G6" s="199">
        <f>H6+I6+J6+K6</f>
        <v>43521.76465374029</v>
      </c>
      <c r="H6" s="200">
        <f>'sdp 2018Trim ro'!C6</f>
        <v>18055.25</v>
      </c>
      <c r="I6" s="200">
        <f>'sdp 2018Trim ro'!D6</f>
        <v>11683.973800000002</v>
      </c>
      <c r="J6" s="200">
        <f>'sdp 2018Trim ro'!E6</f>
        <v>3671.6718627676196</v>
      </c>
      <c r="K6" s="233">
        <f>'sdp 2018Trim ro'!F6</f>
        <v>10110.86899097267</v>
      </c>
    </row>
    <row r="7" spans="1:11" s="5" customFormat="1" ht="21" customHeight="1" thickBot="1">
      <c r="A7" s="234" t="s">
        <v>96</v>
      </c>
      <c r="B7" s="215" t="e">
        <f t="shared" si="0"/>
        <v>#REF!</v>
      </c>
      <c r="C7" s="216" t="e">
        <f t="shared" si="0"/>
        <v>#REF!</v>
      </c>
      <c r="D7" s="216" t="e">
        <f t="shared" si="0"/>
        <v>#REF!</v>
      </c>
      <c r="E7" s="216" t="e">
        <f t="shared" si="0"/>
        <v>#REF!</v>
      </c>
      <c r="F7" s="216" t="e">
        <f t="shared" si="0"/>
        <v>#REF!</v>
      </c>
      <c r="G7" s="217">
        <f aca="true" t="shared" si="1" ref="G7:G15">H7+I7+J7+K7</f>
        <v>11749.445603387281</v>
      </c>
      <c r="H7" s="218">
        <f>'sdp 2018Trim ro'!C7</f>
        <v>2635.9462</v>
      </c>
      <c r="I7" s="218">
        <f>'sdp 2018Trim ro'!D7</f>
        <v>4439.363200000001</v>
      </c>
      <c r="J7" s="218">
        <f>'sdp 2018Trim ro'!E7</f>
        <v>2088.464469720815</v>
      </c>
      <c r="K7" s="235">
        <f>'sdp 2018Trim ro'!F7</f>
        <v>2585.671733666467</v>
      </c>
    </row>
    <row r="8" spans="1:11" s="5" customFormat="1" ht="25.5" customHeight="1" thickBot="1">
      <c r="A8" s="210" t="s">
        <v>5</v>
      </c>
      <c r="B8" s="220" t="e">
        <f>SUM(B10,B11)</f>
        <v>#REF!</v>
      </c>
      <c r="C8" s="221" t="e">
        <f>C10+C11</f>
        <v>#REF!</v>
      </c>
      <c r="D8" s="221" t="e">
        <f>D10+D11</f>
        <v>#REF!</v>
      </c>
      <c r="E8" s="221" t="e">
        <f>E10+E11</f>
        <v>#REF!</v>
      </c>
      <c r="F8" s="221" t="e">
        <f>F10+F11</f>
        <v>#REF!</v>
      </c>
      <c r="G8" s="211">
        <f t="shared" si="1"/>
        <v>31417.35195712757</v>
      </c>
      <c r="H8" s="211">
        <f>SUM(H10:H11)</f>
        <v>13368.06</v>
      </c>
      <c r="I8" s="211">
        <f>SUM(I10:I11)</f>
        <v>5748.2570000000005</v>
      </c>
      <c r="J8" s="211">
        <f>SUM(J10:J11)</f>
        <v>3004.9741324884344</v>
      </c>
      <c r="K8" s="222">
        <f>SUM(K10:K11)</f>
        <v>9296.060824639137</v>
      </c>
    </row>
    <row r="9" spans="1:11" s="5" customFormat="1" ht="15">
      <c r="A9" s="230" t="s">
        <v>3</v>
      </c>
      <c r="B9" s="206"/>
      <c r="C9" s="219"/>
      <c r="D9" s="219"/>
      <c r="E9" s="219"/>
      <c r="F9" s="219"/>
      <c r="G9" s="208"/>
      <c r="H9" s="209"/>
      <c r="I9" s="209"/>
      <c r="J9" s="209"/>
      <c r="K9" s="231"/>
    </row>
    <row r="10" spans="1:11" s="5" customFormat="1" ht="20.25" customHeight="1">
      <c r="A10" s="236" t="s">
        <v>6</v>
      </c>
      <c r="B10" s="197" t="e">
        <f>SUM(C10:F10)</f>
        <v>#REF!</v>
      </c>
      <c r="C10" s="200" t="e">
        <f>'sdp 2018Trim ro'!#REF!</f>
        <v>#REF!</v>
      </c>
      <c r="D10" s="200" t="e">
        <f>'sdp 2018Trim ro'!#REF!</f>
        <v>#REF!</v>
      </c>
      <c r="E10" s="200" t="e">
        <f>'sdp 2018Trim ro'!#REF!</f>
        <v>#REF!</v>
      </c>
      <c r="F10" s="200" t="e">
        <f>'sdp 2018Trim ro'!#REF!</f>
        <v>#REF!</v>
      </c>
      <c r="G10" s="199">
        <f t="shared" si="1"/>
        <v>24835.23280374029</v>
      </c>
      <c r="H10" s="200">
        <f>'sdp 2018Trim ro'!C10</f>
        <v>11795.42</v>
      </c>
      <c r="I10" s="200">
        <f>'sdp 2018Trim ro'!D10</f>
        <v>2965.447</v>
      </c>
      <c r="J10" s="200">
        <f>'sdp 2018Trim ro'!E10</f>
        <v>2076.9962127676195</v>
      </c>
      <c r="K10" s="233">
        <f>'sdp 2018Trim ro'!F10</f>
        <v>7997.36959097267</v>
      </c>
    </row>
    <row r="11" spans="1:11" s="5" customFormat="1" ht="21" customHeight="1" thickBot="1">
      <c r="A11" s="237" t="s">
        <v>7</v>
      </c>
      <c r="B11" s="215" t="e">
        <f>SUM(C11:F11)</f>
        <v>#REF!</v>
      </c>
      <c r="C11" s="218" t="e">
        <f>'sdp 2018Trim ro'!#REF!</f>
        <v>#REF!</v>
      </c>
      <c r="D11" s="218" t="e">
        <f>'sdp 2018Trim ro'!#REF!</f>
        <v>#REF!</v>
      </c>
      <c r="E11" s="218" t="e">
        <f>'sdp 2018Trim ro'!#REF!</f>
        <v>#REF!</v>
      </c>
      <c r="F11" s="218" t="e">
        <f>'sdp 2018Trim ro'!#REF!</f>
        <v>#REF!</v>
      </c>
      <c r="G11" s="217">
        <f t="shared" si="1"/>
        <v>6582.1191533872825</v>
      </c>
      <c r="H11" s="218">
        <f>'sdp 2018Trim ro'!C11</f>
        <v>1572.6399999999999</v>
      </c>
      <c r="I11" s="218">
        <f>'sdp 2018Trim ro'!D11</f>
        <v>2782.8100000000004</v>
      </c>
      <c r="J11" s="218">
        <f>'sdp 2018Trim ro'!E11</f>
        <v>927.9779197208147</v>
      </c>
      <c r="K11" s="235">
        <f>'sdp 2018Trim ro'!F11</f>
        <v>1298.6912336664668</v>
      </c>
    </row>
    <row r="12" spans="1:11" s="5" customFormat="1" ht="22.5" customHeight="1" thickBot="1">
      <c r="A12" s="223" t="s">
        <v>8</v>
      </c>
      <c r="B12" s="224" t="e">
        <f>SUM(B14,B15)</f>
        <v>#REF!</v>
      </c>
      <c r="C12" s="225" t="e">
        <f>C14+C15</f>
        <v>#REF!</v>
      </c>
      <c r="D12" s="226" t="e">
        <f>D14+D15</f>
        <v>#REF!</v>
      </c>
      <c r="E12" s="227" t="e">
        <f>E14+E15</f>
        <v>#REF!</v>
      </c>
      <c r="F12" s="227" t="e">
        <f>F14+F15</f>
        <v>#REF!</v>
      </c>
      <c r="G12" s="228">
        <f t="shared" si="1"/>
        <v>23853.8583</v>
      </c>
      <c r="H12" s="228">
        <f>SUM(H14:H15)</f>
        <v>7323.1362</v>
      </c>
      <c r="I12" s="228">
        <f>SUM(I14:I15)</f>
        <v>10375.080000000002</v>
      </c>
      <c r="J12" s="228">
        <f>SUM(J14:J15)</f>
        <v>2755.1622000000007</v>
      </c>
      <c r="K12" s="229">
        <f>SUM(K14:K15)</f>
        <v>3400.4799000000003</v>
      </c>
    </row>
    <row r="13" spans="1:11" s="5" customFormat="1" ht="15">
      <c r="A13" s="230" t="s">
        <v>3</v>
      </c>
      <c r="B13" s="206"/>
      <c r="C13" s="207"/>
      <c r="D13" s="207"/>
      <c r="E13" s="207"/>
      <c r="F13" s="207"/>
      <c r="G13" s="208"/>
      <c r="H13" s="209"/>
      <c r="I13" s="209"/>
      <c r="J13" s="209"/>
      <c r="K13" s="231"/>
    </row>
    <row r="14" spans="1:11" s="5" customFormat="1" ht="19.5" customHeight="1">
      <c r="A14" s="236" t="s">
        <v>6</v>
      </c>
      <c r="B14" s="201" t="e">
        <f>C14+D14+E14+F14</f>
        <v>#REF!</v>
      </c>
      <c r="C14" s="200" t="e">
        <f>'sdp 2018Trim ro'!#REF!</f>
        <v>#REF!</v>
      </c>
      <c r="D14" s="200" t="e">
        <f>'sdp 2018Trim ro'!#REF!</f>
        <v>#REF!</v>
      </c>
      <c r="E14" s="200" t="e">
        <f>'sdp 2018Trim ro'!#REF!</f>
        <v>#REF!</v>
      </c>
      <c r="F14" s="200" t="e">
        <f>'sdp 2018Trim ro'!#REF!</f>
        <v>#REF!</v>
      </c>
      <c r="G14" s="199">
        <f t="shared" si="1"/>
        <v>18686.531850000003</v>
      </c>
      <c r="H14" s="200">
        <f>'sdp 2018Trim ro'!C14</f>
        <v>6259.83</v>
      </c>
      <c r="I14" s="200">
        <f>'sdp 2018Trim ro'!D14</f>
        <v>8718.526800000001</v>
      </c>
      <c r="J14" s="200">
        <f>'sdp 2018Trim ro'!E14</f>
        <v>1594.6756500000001</v>
      </c>
      <c r="K14" s="233">
        <f>'sdp 2018Trim ro'!F14</f>
        <v>2113.4994</v>
      </c>
    </row>
    <row r="15" spans="1:11" s="5" customFormat="1" ht="22.5" customHeight="1" thickBot="1">
      <c r="A15" s="238" t="s">
        <v>7</v>
      </c>
      <c r="B15" s="239" t="e">
        <f>C15+D15+E15+F15</f>
        <v>#REF!</v>
      </c>
      <c r="C15" s="241" t="e">
        <f>'sdp 2018Trim ro'!#REF!</f>
        <v>#REF!</v>
      </c>
      <c r="D15" s="241" t="e">
        <f>'sdp 2018Trim ro'!#REF!</f>
        <v>#REF!</v>
      </c>
      <c r="E15" s="241" t="e">
        <f>'sdp 2018Trim ro'!#REF!</f>
        <v>#REF!</v>
      </c>
      <c r="F15" s="241" t="e">
        <f>'sdp 2018Trim ro'!#REF!</f>
        <v>#REF!</v>
      </c>
      <c r="G15" s="240">
        <f t="shared" si="1"/>
        <v>5167.326450000001</v>
      </c>
      <c r="H15" s="241">
        <f>'sdp 2018Trim ro'!C15</f>
        <v>1063.3062</v>
      </c>
      <c r="I15" s="241">
        <f>'sdp 2018Trim ro'!D15</f>
        <v>1656.5532000000003</v>
      </c>
      <c r="J15" s="241">
        <f>'sdp 2018Trim ro'!E15</f>
        <v>1160.4865500000003</v>
      </c>
      <c r="K15" s="242">
        <f>'sdp 2018Trim ro'!F15</f>
        <v>1286.9805000000003</v>
      </c>
    </row>
    <row r="16" spans="1:11" s="121" customFormat="1" ht="23.25" customHeight="1">
      <c r="A16" s="306" t="s">
        <v>166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</row>
    <row r="17" spans="1:6" ht="18.75" customHeight="1">
      <c r="A17" s="243"/>
      <c r="B17" s="122"/>
      <c r="C17" s="122"/>
      <c r="D17" s="122"/>
      <c r="E17" s="122"/>
      <c r="F17" s="1"/>
    </row>
    <row r="18" spans="2:6" ht="12.75">
      <c r="B18" s="1"/>
      <c r="C18" s="1"/>
      <c r="D18" s="1"/>
      <c r="E18" s="1"/>
      <c r="F18" s="1"/>
    </row>
    <row r="19" ht="12.75">
      <c r="A19" s="12"/>
    </row>
    <row r="21" spans="2:6" ht="12.75">
      <c r="B21" s="1"/>
      <c r="C21" s="1"/>
      <c r="D21" s="1"/>
      <c r="E21" s="1"/>
      <c r="F21" s="1"/>
    </row>
    <row r="27" ht="12.75">
      <c r="B27" s="1"/>
    </row>
    <row r="49" spans="1:6" ht="12.75">
      <c r="A49" s="25"/>
      <c r="B49" s="25"/>
      <c r="C49" s="25"/>
      <c r="D49" s="25"/>
      <c r="E49" s="25"/>
      <c r="F49" s="26" t="s">
        <v>9</v>
      </c>
    </row>
    <row r="50" spans="1:6" ht="25.5" customHeight="1">
      <c r="A50" s="299" t="s">
        <v>10</v>
      </c>
      <c r="B50" s="299"/>
      <c r="C50" s="27" t="s">
        <v>11</v>
      </c>
      <c r="D50" s="27" t="s">
        <v>14</v>
      </c>
      <c r="E50" s="29" t="s">
        <v>17</v>
      </c>
      <c r="F50" s="27" t="s">
        <v>20</v>
      </c>
    </row>
    <row r="51" spans="1:6" ht="12.75" customHeight="1">
      <c r="A51" s="297" t="s">
        <v>23</v>
      </c>
      <c r="B51" s="297"/>
      <c r="C51" s="31">
        <f>999.99+799.97+2541.35</f>
        <v>4341.3099999999995</v>
      </c>
      <c r="D51" s="31"/>
      <c r="E51" s="31"/>
      <c r="F51" s="31"/>
    </row>
    <row r="52" spans="1:6" ht="12.75" customHeight="1">
      <c r="A52" s="297" t="s">
        <v>24</v>
      </c>
      <c r="B52" s="297"/>
      <c r="C52" s="31"/>
      <c r="D52" s="31"/>
      <c r="E52" s="31"/>
      <c r="F52" s="31"/>
    </row>
    <row r="53" spans="1:6" ht="12.75" customHeight="1">
      <c r="A53" s="297" t="s">
        <v>25</v>
      </c>
      <c r="B53" s="297"/>
      <c r="C53" s="31"/>
      <c r="D53" s="31"/>
      <c r="E53" s="31"/>
      <c r="F53" s="31"/>
    </row>
    <row r="54" spans="1:6" ht="12.75" customHeight="1">
      <c r="A54" s="297" t="s">
        <v>26</v>
      </c>
      <c r="B54" s="297"/>
      <c r="C54" s="31"/>
      <c r="D54" s="31">
        <f>1754.44+2289.39</f>
        <v>4043.83</v>
      </c>
      <c r="E54" s="31"/>
      <c r="F54" s="31"/>
    </row>
    <row r="55" spans="1:6" ht="12.75" customHeight="1">
      <c r="A55" s="297" t="s">
        <v>27</v>
      </c>
      <c r="B55" s="297"/>
      <c r="C55" s="31"/>
      <c r="D55" s="31"/>
      <c r="E55" s="31"/>
      <c r="F55" s="31"/>
    </row>
    <row r="56" spans="1:6" ht="12.75" customHeight="1">
      <c r="A56" s="297" t="s">
        <v>28</v>
      </c>
      <c r="B56" s="297"/>
      <c r="C56" s="31"/>
      <c r="D56" s="31"/>
      <c r="E56" s="31"/>
      <c r="F56" s="31"/>
    </row>
    <row r="57" spans="1:6" ht="12.75" customHeight="1">
      <c r="A57" s="297" t="s">
        <v>29</v>
      </c>
      <c r="B57" s="297"/>
      <c r="C57" s="31"/>
      <c r="D57" s="31">
        <v>297.5</v>
      </c>
      <c r="E57" s="31"/>
      <c r="F57" s="31"/>
    </row>
    <row r="58" spans="1:6" ht="12.75" customHeight="1">
      <c r="A58" s="297" t="s">
        <v>30</v>
      </c>
      <c r="B58" s="297"/>
      <c r="C58" s="31"/>
      <c r="D58" s="31">
        <v>50</v>
      </c>
      <c r="E58" s="31"/>
      <c r="F58" s="31"/>
    </row>
    <row r="59" spans="1:6" ht="12.75" customHeight="1">
      <c r="A59" s="297" t="s">
        <v>31</v>
      </c>
      <c r="B59" s="297"/>
      <c r="C59" s="31"/>
      <c r="D59" s="31"/>
      <c r="E59" s="31"/>
      <c r="F59" s="31"/>
    </row>
    <row r="60" spans="1:6" ht="12.75" customHeight="1">
      <c r="A60" s="297" t="s">
        <v>32</v>
      </c>
      <c r="B60" s="297"/>
      <c r="C60" s="31"/>
      <c r="D60" s="31"/>
      <c r="E60" s="31"/>
      <c r="F60" s="31"/>
    </row>
    <row r="61" spans="1:6" s="33" customFormat="1" ht="12.75" customHeight="1">
      <c r="A61" s="297" t="s">
        <v>33</v>
      </c>
      <c r="B61" s="297"/>
      <c r="C61" s="297"/>
      <c r="D61" s="31"/>
      <c r="E61" s="31"/>
      <c r="F61" s="31"/>
    </row>
    <row r="62" spans="1:6" ht="12.75" customHeight="1">
      <c r="A62" s="297" t="s">
        <v>34</v>
      </c>
      <c r="B62" s="297"/>
      <c r="C62" s="297"/>
      <c r="D62" s="31"/>
      <c r="E62" s="31"/>
      <c r="F62" s="31"/>
    </row>
    <row r="63" spans="1:6" ht="12.75" customHeight="1">
      <c r="A63" s="297" t="s">
        <v>35</v>
      </c>
      <c r="B63" s="297"/>
      <c r="C63" s="297"/>
      <c r="D63" s="31"/>
      <c r="E63" s="31">
        <f>849.99+900+899.92+1065.6</f>
        <v>3715.5099999999998</v>
      </c>
      <c r="F63" s="31"/>
    </row>
    <row r="64" spans="1:6" ht="12.75" customHeight="1">
      <c r="A64" s="297" t="s">
        <v>36</v>
      </c>
      <c r="B64" s="297"/>
      <c r="C64" s="297"/>
      <c r="D64" s="31"/>
      <c r="E64" s="31"/>
      <c r="F64" s="31"/>
    </row>
    <row r="65" spans="1:6" ht="12.75" customHeight="1">
      <c r="A65" s="297" t="s">
        <v>37</v>
      </c>
      <c r="B65" s="297"/>
      <c r="C65" s="297"/>
      <c r="D65" s="31"/>
      <c r="E65" s="31"/>
      <c r="F65" s="31"/>
    </row>
    <row r="66" spans="1:6" ht="12.75" customHeight="1">
      <c r="A66" s="297" t="s">
        <v>38</v>
      </c>
      <c r="B66" s="297"/>
      <c r="C66" s="297"/>
      <c r="D66" s="31"/>
      <c r="E66" s="31"/>
      <c r="F66" s="31">
        <v>4474.3</v>
      </c>
    </row>
    <row r="67" spans="1:6" ht="12.75" customHeight="1">
      <c r="A67" s="297" t="s">
        <v>39</v>
      </c>
      <c r="B67" s="297"/>
      <c r="C67" s="297"/>
      <c r="D67" s="31"/>
      <c r="E67" s="31"/>
      <c r="F67" s="31"/>
    </row>
    <row r="68" spans="1:6" ht="12.75" customHeight="1">
      <c r="A68" s="301" t="s">
        <v>40</v>
      </c>
      <c r="B68" s="301"/>
      <c r="C68" s="301"/>
      <c r="D68" s="31"/>
      <c r="E68" s="31"/>
      <c r="F68" s="31"/>
    </row>
    <row r="69" spans="1:6" ht="12.75" customHeight="1">
      <c r="A69" s="301" t="s">
        <v>41</v>
      </c>
      <c r="B69" s="301"/>
      <c r="C69" s="301"/>
      <c r="D69" s="31"/>
      <c r="E69" s="31"/>
      <c r="F69" s="31"/>
    </row>
    <row r="70" spans="1:6" ht="12.75" customHeight="1">
      <c r="A70" s="301" t="s">
        <v>42</v>
      </c>
      <c r="B70" s="301"/>
      <c r="C70" s="301"/>
      <c r="D70" s="31"/>
      <c r="E70" s="31"/>
      <c r="F70" s="31"/>
    </row>
    <row r="71" spans="1:6" ht="12.75" customHeight="1">
      <c r="A71" s="301" t="s">
        <v>43</v>
      </c>
      <c r="B71" s="301"/>
      <c r="C71" s="301"/>
      <c r="D71" s="31"/>
      <c r="E71" s="31"/>
      <c r="F71" s="31"/>
    </row>
    <row r="72" spans="1:6" s="36" customFormat="1" ht="12.75" customHeight="1">
      <c r="A72" s="300"/>
      <c r="B72" s="300"/>
      <c r="C72" s="34">
        <f>SUM(C51:C67)</f>
        <v>4341.3099999999995</v>
      </c>
      <c r="D72" s="34">
        <f>SUM(D52:D67)</f>
        <v>4391.33</v>
      </c>
      <c r="E72" s="34">
        <f>SUM(E52:E67)</f>
        <v>3715.5099999999998</v>
      </c>
      <c r="F72" s="34">
        <f>SUM(F52:F67)</f>
        <v>4474.3</v>
      </c>
    </row>
    <row r="73" spans="1:6" ht="44.25" customHeight="1">
      <c r="A73" s="27" t="s">
        <v>44</v>
      </c>
      <c r="B73" s="25"/>
      <c r="C73" s="37">
        <v>0</v>
      </c>
      <c r="D73" s="37">
        <v>0</v>
      </c>
      <c r="E73" s="32">
        <f>'[1]2012'!$H$37</f>
        <v>2649.9</v>
      </c>
      <c r="F73" s="32">
        <f>'[1]2012'!$K$37</f>
        <v>0</v>
      </c>
    </row>
    <row r="74" spans="1:6" s="36" customFormat="1" ht="12.75" customHeight="1">
      <c r="A74" s="299" t="s">
        <v>45</v>
      </c>
      <c r="B74" s="299"/>
      <c r="C74" s="34">
        <f>C73+C72</f>
        <v>4341.3099999999995</v>
      </c>
      <c r="D74" s="34">
        <f>D73+D72</f>
        <v>4391.33</v>
      </c>
      <c r="E74" s="34">
        <f>E73+E72</f>
        <v>6365.41</v>
      </c>
      <c r="F74" s="34">
        <f>F73+F72</f>
        <v>4474.3</v>
      </c>
    </row>
    <row r="75" spans="1:6" ht="30.75" customHeight="1">
      <c r="A75" s="301" t="s">
        <v>46</v>
      </c>
      <c r="B75" s="301"/>
      <c r="C75" s="301"/>
      <c r="D75" s="301"/>
      <c r="E75" s="301"/>
      <c r="F75" s="301"/>
    </row>
  </sheetData>
  <sheetProtection/>
  <mergeCells count="27">
    <mergeCell ref="A74:B74"/>
    <mergeCell ref="A75:F75"/>
    <mergeCell ref="A67:C67"/>
    <mergeCell ref="A68:C68"/>
    <mergeCell ref="A69:C69"/>
    <mergeCell ref="A70:C70"/>
    <mergeCell ref="A71:C71"/>
    <mergeCell ref="A72:B72"/>
    <mergeCell ref="A61:C61"/>
    <mergeCell ref="A62:C62"/>
    <mergeCell ref="A63:C63"/>
    <mergeCell ref="A64:C64"/>
    <mergeCell ref="A65:C65"/>
    <mergeCell ref="A66:C66"/>
    <mergeCell ref="A55:B55"/>
    <mergeCell ref="A56:B56"/>
    <mergeCell ref="A57:B57"/>
    <mergeCell ref="A58:B58"/>
    <mergeCell ref="A59:B59"/>
    <mergeCell ref="A60:B60"/>
    <mergeCell ref="B1:I1"/>
    <mergeCell ref="A50:B50"/>
    <mergeCell ref="A51:B51"/>
    <mergeCell ref="A52:B52"/>
    <mergeCell ref="A53:B53"/>
    <mergeCell ref="A54:B54"/>
    <mergeCell ref="A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3"/>
  <sheetViews>
    <sheetView zoomScale="75" zoomScaleNormal="75" workbookViewId="0" topLeftCell="A1">
      <selection activeCell="H3" sqref="H3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3" width="11.7109375" style="0" customWidth="1"/>
    <col min="4" max="4" width="10.140625" style="0" customWidth="1"/>
    <col min="5" max="5" width="10.8515625" style="0" customWidth="1"/>
    <col min="6" max="6" width="10.7109375" style="0" customWidth="1"/>
    <col min="7" max="7" width="11.00390625" style="0" customWidth="1"/>
    <col min="8" max="8" width="13.00390625" style="0" customWidth="1"/>
    <col min="9" max="9" width="11.0039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3:11" ht="12.75">
      <c r="C1" s="1"/>
      <c r="D1" s="2"/>
      <c r="F1" s="3"/>
      <c r="G1" s="1"/>
      <c r="J1" s="1"/>
      <c r="K1" s="4"/>
    </row>
    <row r="2" spans="3:14" ht="13.5" thickBot="1">
      <c r="C2" s="1"/>
      <c r="D2" s="2"/>
      <c r="J2" s="1"/>
      <c r="K2" s="2"/>
      <c r="N2" s="113" t="s">
        <v>0</v>
      </c>
    </row>
    <row r="3" spans="1:14" s="5" customFormat="1" ht="45.75" customHeight="1" thickBot="1">
      <c r="A3" s="265" t="s">
        <v>1</v>
      </c>
      <c r="B3" s="266" t="s">
        <v>153</v>
      </c>
      <c r="C3" s="283">
        <v>43101</v>
      </c>
      <c r="D3" s="283">
        <v>43132</v>
      </c>
      <c r="E3" s="283">
        <v>43160</v>
      </c>
      <c r="F3" s="283">
        <v>43191</v>
      </c>
      <c r="G3" s="283">
        <v>43221</v>
      </c>
      <c r="H3" s="283">
        <v>43252</v>
      </c>
      <c r="I3" s="277">
        <v>43282</v>
      </c>
      <c r="J3" s="277">
        <v>43313</v>
      </c>
      <c r="K3" s="277">
        <v>43344</v>
      </c>
      <c r="L3" s="277">
        <v>43374</v>
      </c>
      <c r="M3" s="277">
        <v>43405</v>
      </c>
      <c r="N3" s="277">
        <v>43435</v>
      </c>
    </row>
    <row r="4" spans="1:14" s="5" customFormat="1" ht="49.5" customHeight="1">
      <c r="A4" s="259" t="s">
        <v>136</v>
      </c>
      <c r="B4" s="260">
        <f>SUM(B7,B9)</f>
        <v>55271.210257127575</v>
      </c>
      <c r="C4" s="261">
        <f aca="true" t="shared" si="0" ref="C4:N4">SUM(C7,C9)</f>
        <v>9351.4516</v>
      </c>
      <c r="D4" s="261">
        <f t="shared" si="0"/>
        <v>3247.076</v>
      </c>
      <c r="E4" s="261">
        <f t="shared" si="0"/>
        <v>8092.668600000001</v>
      </c>
      <c r="F4" s="262">
        <f t="shared" si="0"/>
        <v>3135.4675500000003</v>
      </c>
      <c r="G4" s="262">
        <f t="shared" si="0"/>
        <v>1914.3077500000004</v>
      </c>
      <c r="H4" s="262">
        <f t="shared" si="0"/>
        <v>11073.561700000002</v>
      </c>
      <c r="I4" s="262">
        <f t="shared" si="0"/>
        <v>2299.265832699034</v>
      </c>
      <c r="J4" s="262">
        <f t="shared" si="0"/>
        <v>2467.1163875639113</v>
      </c>
      <c r="K4" s="262">
        <f t="shared" si="0"/>
        <v>993.7541122254888</v>
      </c>
      <c r="L4" s="262">
        <f t="shared" si="0"/>
        <v>2270.347040633165</v>
      </c>
      <c r="M4" s="263">
        <f t="shared" si="0"/>
        <v>9266.27723016765</v>
      </c>
      <c r="N4" s="264">
        <f t="shared" si="0"/>
        <v>1159.9164538383216</v>
      </c>
    </row>
    <row r="5" spans="1:14" s="5" customFormat="1" ht="13.5">
      <c r="A5" s="135" t="s">
        <v>2</v>
      </c>
      <c r="B5" s="6">
        <f aca="true" t="shared" si="1" ref="B5:N5">B27+B24</f>
        <v>11886.281775726362</v>
      </c>
      <c r="C5" s="6">
        <f t="shared" si="1"/>
        <v>2011.0648602150536</v>
      </c>
      <c r="D5" s="6">
        <f t="shared" si="1"/>
        <v>698.2959139784946</v>
      </c>
      <c r="E5" s="6">
        <f t="shared" si="1"/>
        <v>1740.3588387096775</v>
      </c>
      <c r="F5" s="6">
        <f t="shared" si="1"/>
        <v>674.2940967741936</v>
      </c>
      <c r="G5" s="6">
        <f t="shared" si="1"/>
        <v>411.67908602150544</v>
      </c>
      <c r="H5" s="6">
        <f t="shared" si="1"/>
        <v>2381.4111182795705</v>
      </c>
      <c r="I5" s="6">
        <f t="shared" si="1"/>
        <v>494.46577047291055</v>
      </c>
      <c r="J5" s="6">
        <f t="shared" si="1"/>
        <v>530.5626639922389</v>
      </c>
      <c r="K5" s="6">
        <f t="shared" si="1"/>
        <v>213.71056176892233</v>
      </c>
      <c r="L5" s="6">
        <f t="shared" si="1"/>
        <v>488.2466754049817</v>
      </c>
      <c r="M5" s="254">
        <f t="shared" si="1"/>
        <v>1992.7477914339036</v>
      </c>
      <c r="N5" s="256">
        <f t="shared" si="1"/>
        <v>249.4443986749079</v>
      </c>
    </row>
    <row r="6" spans="1:14" s="5" customFormat="1" ht="15">
      <c r="A6" s="137" t="s">
        <v>101</v>
      </c>
      <c r="B6" s="7"/>
      <c r="C6" s="8"/>
      <c r="D6" s="8"/>
      <c r="E6" s="9"/>
      <c r="F6" s="8"/>
      <c r="G6" s="8"/>
      <c r="H6" s="8"/>
      <c r="I6" s="8"/>
      <c r="J6" s="8"/>
      <c r="K6" s="8"/>
      <c r="L6" s="8"/>
      <c r="M6" s="7"/>
      <c r="N6" s="251"/>
    </row>
    <row r="7" spans="1:14" s="5" customFormat="1" ht="13.5">
      <c r="A7" s="139" t="s">
        <v>137</v>
      </c>
      <c r="B7" s="7">
        <f>B19+B30*B14</f>
        <v>43521.76465374029</v>
      </c>
      <c r="C7" s="7">
        <f>C19+C30*C14</f>
        <v>8769.7665</v>
      </c>
      <c r="D7" s="7">
        <f>D19+D30*D14</f>
        <v>1994.7570000000003</v>
      </c>
      <c r="E7" s="7">
        <f aca="true" t="shared" si="2" ref="E7:N7">E19+E30*E14</f>
        <v>7290.726500000001</v>
      </c>
      <c r="F7" s="7">
        <f t="shared" si="2"/>
        <v>1075.02185</v>
      </c>
      <c r="G7" s="7">
        <f t="shared" si="2"/>
        <v>1294.0637000000004</v>
      </c>
      <c r="H7" s="7">
        <f t="shared" si="2"/>
        <v>9314.888250000002</v>
      </c>
      <c r="I7" s="7">
        <f t="shared" si="2"/>
        <v>1345.421770116533</v>
      </c>
      <c r="J7" s="7">
        <f t="shared" si="2"/>
        <v>1877.9871893597024</v>
      </c>
      <c r="K7" s="7">
        <f t="shared" si="2"/>
        <v>448.262903291384</v>
      </c>
      <c r="L7" s="7">
        <f t="shared" si="2"/>
        <v>1070.61144077779</v>
      </c>
      <c r="M7" s="7">
        <f t="shared" si="2"/>
        <v>8377.591113024122</v>
      </c>
      <c r="N7" s="251">
        <f t="shared" si="2"/>
        <v>662.6664371707584</v>
      </c>
    </row>
    <row r="8" spans="1:14" s="5" customFormat="1" ht="13.5">
      <c r="A8" s="140" t="s">
        <v>4</v>
      </c>
      <c r="B8" s="10">
        <f aca="true" t="shared" si="3" ref="B8:N8">B7/B14</f>
        <v>9359.519280374256</v>
      </c>
      <c r="C8" s="10">
        <f t="shared" si="3"/>
        <v>1885.9712903225804</v>
      </c>
      <c r="D8" s="10">
        <f t="shared" si="3"/>
        <v>428.98</v>
      </c>
      <c r="E8" s="10">
        <f t="shared" si="3"/>
        <v>1567.8981720430108</v>
      </c>
      <c r="F8" s="10">
        <f t="shared" si="3"/>
        <v>231.1874946236559</v>
      </c>
      <c r="G8" s="10">
        <f t="shared" si="3"/>
        <v>278.29326881720436</v>
      </c>
      <c r="H8" s="10">
        <f t="shared" si="3"/>
        <v>2003.2017741935485</v>
      </c>
      <c r="I8" s="10">
        <f t="shared" si="3"/>
        <v>289.3380150788243</v>
      </c>
      <c r="J8" s="10">
        <f t="shared" si="3"/>
        <v>403.86821276552735</v>
      </c>
      <c r="K8" s="10">
        <f t="shared" si="3"/>
        <v>96.40062436373849</v>
      </c>
      <c r="L8" s="10">
        <f t="shared" si="3"/>
        <v>230.23901952210537</v>
      </c>
      <c r="M8" s="255">
        <f t="shared" si="3"/>
        <v>1801.6324974245422</v>
      </c>
      <c r="N8" s="257">
        <f t="shared" si="3"/>
        <v>142.50891121951793</v>
      </c>
    </row>
    <row r="9" spans="1:14" s="5" customFormat="1" ht="13.5">
      <c r="A9" s="139" t="s">
        <v>138</v>
      </c>
      <c r="B9" s="7">
        <f aca="true" t="shared" si="4" ref="B9:M9">B20+B31*B14</f>
        <v>11749.445603387285</v>
      </c>
      <c r="C9" s="7">
        <f>C20+C31*C14</f>
        <v>581.6851</v>
      </c>
      <c r="D9" s="7">
        <f t="shared" si="4"/>
        <v>1252.319</v>
      </c>
      <c r="E9" s="7">
        <f t="shared" si="4"/>
        <v>801.9421</v>
      </c>
      <c r="F9" s="7">
        <f t="shared" si="4"/>
        <v>2060.4457</v>
      </c>
      <c r="G9" s="7">
        <f t="shared" si="4"/>
        <v>620.2440499999999</v>
      </c>
      <c r="H9" s="7">
        <f t="shared" si="4"/>
        <v>1758.6734500000005</v>
      </c>
      <c r="I9" s="7">
        <f t="shared" si="4"/>
        <v>953.8440625825012</v>
      </c>
      <c r="J9" s="7">
        <f t="shared" si="4"/>
        <v>589.1291982042087</v>
      </c>
      <c r="K9" s="7">
        <f t="shared" si="4"/>
        <v>545.4912089341047</v>
      </c>
      <c r="L9" s="7">
        <f t="shared" si="4"/>
        <v>1199.7355998553749</v>
      </c>
      <c r="M9" s="7">
        <f t="shared" si="4"/>
        <v>888.6861171435289</v>
      </c>
      <c r="N9" s="251">
        <f>N20+N31*N14</f>
        <v>497.2500166675633</v>
      </c>
    </row>
    <row r="10" spans="1:14" s="5" customFormat="1" ht="13.5">
      <c r="A10" s="140" t="s">
        <v>4</v>
      </c>
      <c r="B10" s="10">
        <f aca="true" t="shared" si="5" ref="B10:N10">B9/B14</f>
        <v>2526.762495352104</v>
      </c>
      <c r="C10" s="10">
        <f t="shared" si="5"/>
        <v>125.09356989247311</v>
      </c>
      <c r="D10" s="10">
        <f t="shared" si="5"/>
        <v>269.3159139784946</v>
      </c>
      <c r="E10" s="10">
        <f t="shared" si="5"/>
        <v>172.46066666666664</v>
      </c>
      <c r="F10" s="10">
        <f t="shared" si="5"/>
        <v>443.10660215053764</v>
      </c>
      <c r="G10" s="10">
        <f t="shared" si="5"/>
        <v>133.38581720430105</v>
      </c>
      <c r="H10" s="10">
        <f t="shared" si="5"/>
        <v>378.2093440860216</v>
      </c>
      <c r="I10" s="10">
        <f t="shared" si="5"/>
        <v>205.12775539408628</v>
      </c>
      <c r="J10" s="10">
        <f t="shared" si="5"/>
        <v>126.69445122671154</v>
      </c>
      <c r="K10" s="10">
        <f t="shared" si="5"/>
        <v>117.3099374051838</v>
      </c>
      <c r="L10" s="10">
        <f t="shared" si="5"/>
        <v>258.0076558828763</v>
      </c>
      <c r="M10" s="255">
        <f t="shared" si="5"/>
        <v>191.11529400936104</v>
      </c>
      <c r="N10" s="257">
        <f t="shared" si="5"/>
        <v>106.93548745538995</v>
      </c>
    </row>
    <row r="11" spans="1:14" s="5" customFormat="1" ht="15">
      <c r="A11" s="137" t="s">
        <v>101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7"/>
      <c r="N11" s="251"/>
    </row>
    <row r="12" spans="1:14" s="5" customFormat="1" ht="27">
      <c r="A12" s="142" t="s">
        <v>139</v>
      </c>
      <c r="B12" s="7">
        <f>B22+B33*B14</f>
        <v>54294.246557127575</v>
      </c>
      <c r="C12" s="7">
        <f>C22+C33*C14</f>
        <v>9262.629733333335</v>
      </c>
      <c r="D12" s="7">
        <f>D22+D33*D14</f>
        <v>3188.042033333333</v>
      </c>
      <c r="E12" s="7">
        <f aca="true" t="shared" si="6" ref="E12:N12">E22+E33*E14</f>
        <v>8007.7852833333345</v>
      </c>
      <c r="F12" s="7">
        <f t="shared" si="6"/>
        <v>3080.437233333333</v>
      </c>
      <c r="G12" s="7">
        <f t="shared" si="6"/>
        <v>1844.0951833333338</v>
      </c>
      <c r="H12" s="7">
        <f t="shared" si="6"/>
        <v>10938.742033333336</v>
      </c>
      <c r="I12" s="7">
        <f t="shared" si="6"/>
        <v>2209.8348160323676</v>
      </c>
      <c r="J12" s="7">
        <f t="shared" si="6"/>
        <v>2408.0917208972446</v>
      </c>
      <c r="K12" s="7">
        <f t="shared" si="6"/>
        <v>909.4473955588221</v>
      </c>
      <c r="L12" s="7">
        <f t="shared" si="6"/>
        <v>2221.1803739664983</v>
      </c>
      <c r="M12" s="7">
        <f t="shared" si="6"/>
        <v>9195.985613500983</v>
      </c>
      <c r="N12" s="251">
        <f t="shared" si="6"/>
        <v>1027.9751371716552</v>
      </c>
    </row>
    <row r="13" spans="1:14" s="5" customFormat="1" ht="27">
      <c r="A13" s="156" t="s">
        <v>140</v>
      </c>
      <c r="B13" s="144">
        <f>B23+B34*B14</f>
        <v>976.9637</v>
      </c>
      <c r="C13" s="144">
        <f>C23+C34*C14</f>
        <v>88.82186666666666</v>
      </c>
      <c r="D13" s="144">
        <f aca="true" t="shared" si="7" ref="D13:N13">D23+D34*D14</f>
        <v>59.033966666666664</v>
      </c>
      <c r="E13" s="144">
        <f t="shared" si="7"/>
        <v>84.88331666666667</v>
      </c>
      <c r="F13" s="144">
        <f t="shared" si="7"/>
        <v>55.030316666666664</v>
      </c>
      <c r="G13" s="144">
        <f t="shared" si="7"/>
        <v>70.21256666666666</v>
      </c>
      <c r="H13" s="144">
        <f t="shared" si="7"/>
        <v>134.81966666666668</v>
      </c>
      <c r="I13" s="144">
        <f t="shared" si="7"/>
        <v>89.43101666666666</v>
      </c>
      <c r="J13" s="144">
        <f t="shared" si="7"/>
        <v>59.02466666666666</v>
      </c>
      <c r="K13" s="144">
        <f t="shared" si="7"/>
        <v>84.30671666666666</v>
      </c>
      <c r="L13" s="144">
        <f t="shared" si="7"/>
        <v>49.166666666666664</v>
      </c>
      <c r="M13" s="144">
        <f t="shared" si="7"/>
        <v>70.29161666666667</v>
      </c>
      <c r="N13" s="253">
        <f t="shared" si="7"/>
        <v>131.94131666666667</v>
      </c>
    </row>
    <row r="14" spans="1:14" s="13" customFormat="1" ht="17.25" customHeight="1">
      <c r="A14" s="307" t="s">
        <v>168</v>
      </c>
      <c r="B14" s="281">
        <v>4.65</v>
      </c>
      <c r="C14" s="281">
        <v>4.65</v>
      </c>
      <c r="D14" s="281">
        <v>4.65</v>
      </c>
      <c r="E14" s="281">
        <v>4.65</v>
      </c>
      <c r="F14" s="281">
        <v>4.65</v>
      </c>
      <c r="G14" s="281">
        <v>4.65</v>
      </c>
      <c r="H14" s="281">
        <v>4.65</v>
      </c>
      <c r="I14" s="281">
        <v>4.65</v>
      </c>
      <c r="J14" s="281">
        <v>4.65</v>
      </c>
      <c r="K14" s="281">
        <v>4.65</v>
      </c>
      <c r="L14" s="281">
        <v>4.65</v>
      </c>
      <c r="M14" s="281">
        <v>4.65</v>
      </c>
      <c r="N14" s="281">
        <v>4.65</v>
      </c>
    </row>
    <row r="15" spans="1:14" s="5" customFormat="1" ht="15" thickBot="1">
      <c r="A15" s="308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</row>
    <row r="16" spans="1:14" s="5" customFormat="1" ht="31.5" thickBot="1">
      <c r="A16" s="210" t="s">
        <v>104</v>
      </c>
      <c r="B16" s="271">
        <f>SUM(B19,B20)</f>
        <v>31417.351957127576</v>
      </c>
      <c r="C16" s="271">
        <f aca="true" t="shared" si="8" ref="C16:N16">C19+C20</f>
        <v>8939.35</v>
      </c>
      <c r="D16" s="271">
        <f t="shared" si="8"/>
        <v>2505.6800000000003</v>
      </c>
      <c r="E16" s="271">
        <f t="shared" si="8"/>
        <v>1923.0300000000002</v>
      </c>
      <c r="F16" s="271">
        <f t="shared" si="8"/>
        <v>2402.13</v>
      </c>
      <c r="G16" s="271">
        <f t="shared" si="8"/>
        <v>1122.25</v>
      </c>
      <c r="H16" s="271">
        <f t="shared" si="8"/>
        <v>2223.8770000000004</v>
      </c>
      <c r="I16" s="271">
        <f t="shared" si="8"/>
        <v>1570.5131826990341</v>
      </c>
      <c r="J16" s="271">
        <f t="shared" si="8"/>
        <v>1090.372287563911</v>
      </c>
      <c r="K16" s="271">
        <f t="shared" si="8"/>
        <v>344.08866222548875</v>
      </c>
      <c r="L16" s="271">
        <f t="shared" si="8"/>
        <v>498.4366406331647</v>
      </c>
      <c r="M16" s="271">
        <f t="shared" si="8"/>
        <v>8317.444730167652</v>
      </c>
      <c r="N16" s="272">
        <f t="shared" si="8"/>
        <v>480.17945383832165</v>
      </c>
    </row>
    <row r="17" spans="1:15" s="14" customFormat="1" ht="33.75" customHeight="1" thickBot="1">
      <c r="A17" s="147" t="s">
        <v>146</v>
      </c>
      <c r="B17" s="267">
        <f>SUM(C17:N17)</f>
        <v>25217.977000000003</v>
      </c>
      <c r="C17" s="268">
        <f>'detaliat intern'!D3</f>
        <v>8530.6</v>
      </c>
      <c r="D17" s="268">
        <f>'detaliat intern'!E3</f>
        <v>1699.98</v>
      </c>
      <c r="E17" s="268">
        <f>'detaliat intern'!F3</f>
        <v>1399.95</v>
      </c>
      <c r="F17" s="268">
        <f>'detaliat intern'!G3</f>
        <v>799.96</v>
      </c>
      <c r="G17" s="268">
        <f>'detaliat intern'!H3</f>
        <v>999.99</v>
      </c>
      <c r="H17" s="268">
        <f>'detaliat intern'!I3</f>
        <v>999.997</v>
      </c>
      <c r="I17" s="268">
        <f>'detaliat intern'!J3</f>
        <v>999.99</v>
      </c>
      <c r="J17" s="268">
        <f>'detaliat intern'!K3</f>
        <v>1534.9</v>
      </c>
      <c r="K17" s="268">
        <f>'detaliat intern'!L3</f>
        <v>0</v>
      </c>
      <c r="L17" s="268">
        <f>'detaliat intern'!M3</f>
        <v>0</v>
      </c>
      <c r="M17" s="269">
        <f>'detaliat intern'!N3</f>
        <v>8084</v>
      </c>
      <c r="N17" s="270">
        <f>'detaliat intern'!O3</f>
        <v>168.61</v>
      </c>
      <c r="O17" s="116"/>
    </row>
    <row r="18" spans="1:14" s="5" customFormat="1" ht="15">
      <c r="A18" s="137" t="s">
        <v>101</v>
      </c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8"/>
      <c r="N18" s="252"/>
    </row>
    <row r="19" spans="1:18" s="5" customFormat="1" ht="13.5">
      <c r="A19" s="139" t="s">
        <v>137</v>
      </c>
      <c r="B19" s="7">
        <f>SUM(C19:N19)</f>
        <v>24835.23280374029</v>
      </c>
      <c r="C19" s="115">
        <f>'detaliat intern'!D44</f>
        <v>8584.65</v>
      </c>
      <c r="D19" s="115">
        <f>'detaliat intern'!E44</f>
        <v>1756.7700000000002</v>
      </c>
      <c r="E19" s="115">
        <f>'detaliat intern'!F44</f>
        <v>1454.0000000000002</v>
      </c>
      <c r="F19" s="115">
        <f>'detaliat intern'!G44</f>
        <v>857.36</v>
      </c>
      <c r="G19" s="115">
        <f>'detaliat intern'!H44</f>
        <v>1054.04</v>
      </c>
      <c r="H19" s="115">
        <f>'detaliat intern'!I44</f>
        <v>1054.047</v>
      </c>
      <c r="I19" s="115">
        <f>'detaliat intern'!J44</f>
        <v>1045.794370116533</v>
      </c>
      <c r="J19" s="115">
        <f>'detaliat intern'!K44</f>
        <v>977.1519893597024</v>
      </c>
      <c r="K19" s="115">
        <f>'detaliat intern'!L44</f>
        <v>54.049853291384</v>
      </c>
      <c r="L19" s="115">
        <f>'detaliat intern'!M44</f>
        <v>57.29739077779</v>
      </c>
      <c r="M19" s="115">
        <f>'detaliat intern'!N44</f>
        <v>7717.8584130241225</v>
      </c>
      <c r="N19" s="115">
        <f>'detaliat intern'!O44</f>
        <v>222.2137871707584</v>
      </c>
      <c r="R19" s="17"/>
    </row>
    <row r="20" spans="1:14" s="5" customFormat="1" ht="13.5">
      <c r="A20" s="139" t="s">
        <v>138</v>
      </c>
      <c r="B20" s="7">
        <f>SUM(C20:N20)</f>
        <v>6582.1191533872825</v>
      </c>
      <c r="C20" s="115">
        <f>'detaliat intern'!D45</f>
        <v>354.7</v>
      </c>
      <c r="D20" s="115">
        <f>'detaliat intern'!E45</f>
        <v>748.91</v>
      </c>
      <c r="E20" s="115">
        <f>'detaliat intern'!F45</f>
        <v>469.03</v>
      </c>
      <c r="F20" s="115">
        <f>'detaliat intern'!G45</f>
        <v>1544.77</v>
      </c>
      <c r="G20" s="115">
        <f>'detaliat intern'!H45</f>
        <v>68.21000000000001</v>
      </c>
      <c r="H20" s="115">
        <f>'detaliat intern'!I45</f>
        <v>1169.8300000000002</v>
      </c>
      <c r="I20" s="115">
        <f>'detaliat intern'!J45</f>
        <v>524.7188125825013</v>
      </c>
      <c r="J20" s="115">
        <f>'detaliat intern'!K45</f>
        <v>113.22029820420869</v>
      </c>
      <c r="K20" s="115">
        <f>'detaliat intern'!L45</f>
        <v>290.03880893410474</v>
      </c>
      <c r="L20" s="115">
        <f>'detaliat intern'!M45</f>
        <v>441.1392498553747</v>
      </c>
      <c r="M20" s="115">
        <f>'detaliat intern'!N45</f>
        <v>599.586317143529</v>
      </c>
      <c r="N20" s="115">
        <f>'detaliat intern'!O45</f>
        <v>257.96566666756326</v>
      </c>
    </row>
    <row r="21" spans="1:14" s="5" customFormat="1" ht="14.25">
      <c r="A21" s="151" t="s">
        <v>101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38"/>
      <c r="N21" s="251"/>
    </row>
    <row r="22" spans="1:16" s="5" customFormat="1" ht="27">
      <c r="A22" s="142" t="s">
        <v>144</v>
      </c>
      <c r="B22" s="7">
        <f>SUM(C22:N22)</f>
        <v>30827.351957127572</v>
      </c>
      <c r="C22" s="8">
        <f>'detaliat intern'!D28</f>
        <v>8890.183333333334</v>
      </c>
      <c r="D22" s="8">
        <f>'detaliat intern'!E28</f>
        <v>2456.5133333333333</v>
      </c>
      <c r="E22" s="8">
        <f>'detaliat intern'!F28</f>
        <v>1873.8633333333335</v>
      </c>
      <c r="F22" s="8">
        <f>'detaliat intern'!G28</f>
        <v>2352.963333333333</v>
      </c>
      <c r="G22" s="8">
        <f>'detaliat intern'!H28</f>
        <v>1073.0833333333333</v>
      </c>
      <c r="H22" s="8">
        <f>'detaliat intern'!I28</f>
        <v>2174.7103333333334</v>
      </c>
      <c r="I22" s="8">
        <f>'detaliat intern'!J28</f>
        <v>1521.3465160323676</v>
      </c>
      <c r="J22" s="8">
        <f>'detaliat intern'!K28</f>
        <v>1041.2056208972444</v>
      </c>
      <c r="K22" s="8">
        <f>'detaliat intern'!L28</f>
        <v>294.92199555882206</v>
      </c>
      <c r="L22" s="8">
        <f>'detaliat intern'!M28</f>
        <v>449.26997396649807</v>
      </c>
      <c r="M22" s="8">
        <f>'detaliat intern'!N28</f>
        <v>8268.278063500984</v>
      </c>
      <c r="N22" s="8">
        <f>'detaliat intern'!O28</f>
        <v>431.01278717165496</v>
      </c>
      <c r="P22" s="17"/>
    </row>
    <row r="23" spans="1:14" s="5" customFormat="1" ht="27.75" thickBot="1">
      <c r="A23" s="142" t="s">
        <v>145</v>
      </c>
      <c r="B23" s="7">
        <f>SUM(C23:N23)</f>
        <v>590</v>
      </c>
      <c r="C23" s="16">
        <f>'detaliat intern'!D41</f>
        <v>49.166666666666664</v>
      </c>
      <c r="D23" s="16">
        <f>'detaliat intern'!E41</f>
        <v>49.166666666666664</v>
      </c>
      <c r="E23" s="16">
        <f>'detaliat intern'!F41</f>
        <v>49.166666666666664</v>
      </c>
      <c r="F23" s="16">
        <f>'detaliat intern'!G41</f>
        <v>49.166666666666664</v>
      </c>
      <c r="G23" s="16">
        <f>'detaliat intern'!H41</f>
        <v>49.166666666666664</v>
      </c>
      <c r="H23" s="16">
        <f>'detaliat intern'!I41</f>
        <v>49.166666666666664</v>
      </c>
      <c r="I23" s="16">
        <f>'detaliat intern'!J41</f>
        <v>49.166666666666664</v>
      </c>
      <c r="J23" s="16">
        <f>'detaliat intern'!K41</f>
        <v>49.166666666666664</v>
      </c>
      <c r="K23" s="16">
        <f>'detaliat intern'!L41</f>
        <v>49.166666666666664</v>
      </c>
      <c r="L23" s="16">
        <f>'detaliat intern'!M41</f>
        <v>49.166666666666664</v>
      </c>
      <c r="M23" s="16">
        <f>'detaliat intern'!N41</f>
        <v>49.166666666666664</v>
      </c>
      <c r="N23" s="16">
        <f>'detaliat intern'!O41</f>
        <v>49.166666666666664</v>
      </c>
    </row>
    <row r="24" spans="1:14" s="5" customFormat="1" ht="28.5">
      <c r="A24" s="152" t="s">
        <v>141</v>
      </c>
      <c r="B24" s="153">
        <f aca="true" t="shared" si="9" ref="B24:N24">B16/B14</f>
        <v>6756.41977572636</v>
      </c>
      <c r="C24" s="153">
        <f t="shared" si="9"/>
        <v>1922.4408602150536</v>
      </c>
      <c r="D24" s="153">
        <f t="shared" si="9"/>
        <v>538.8559139784946</v>
      </c>
      <c r="E24" s="153">
        <f t="shared" si="9"/>
        <v>413.5548387096774</v>
      </c>
      <c r="F24" s="153">
        <f t="shared" si="9"/>
        <v>516.5870967741936</v>
      </c>
      <c r="G24" s="153">
        <f t="shared" si="9"/>
        <v>241.34408602150535</v>
      </c>
      <c r="H24" s="153">
        <f t="shared" si="9"/>
        <v>478.25311827956995</v>
      </c>
      <c r="I24" s="153">
        <f t="shared" si="9"/>
        <v>337.74477047291055</v>
      </c>
      <c r="J24" s="153">
        <f t="shared" si="9"/>
        <v>234.48866399223888</v>
      </c>
      <c r="K24" s="153">
        <f t="shared" si="9"/>
        <v>73.99756176892231</v>
      </c>
      <c r="L24" s="153">
        <f t="shared" si="9"/>
        <v>107.19067540498165</v>
      </c>
      <c r="M24" s="154">
        <f t="shared" si="9"/>
        <v>1788.6977914339036</v>
      </c>
      <c r="N24" s="258">
        <f t="shared" si="9"/>
        <v>103.26439867490788</v>
      </c>
    </row>
    <row r="25" spans="1:14" s="13" customFormat="1" ht="18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146"/>
      <c r="M25" s="146"/>
      <c r="N25" s="146"/>
    </row>
    <row r="26" spans="5:14" s="5" customFormat="1" ht="14.25" thickBot="1">
      <c r="E26" s="17"/>
      <c r="F26" s="17"/>
      <c r="N26" s="113" t="s">
        <v>4</v>
      </c>
    </row>
    <row r="27" spans="1:14" s="5" customFormat="1" ht="31.5" thickBot="1">
      <c r="A27" s="273" t="s">
        <v>107</v>
      </c>
      <c r="B27" s="274">
        <f>SUM(B30,B31)</f>
        <v>5129.862000000001</v>
      </c>
      <c r="C27" s="278">
        <f aca="true" t="shared" si="10" ref="C27:N27">C30+C31</f>
        <v>88.624</v>
      </c>
      <c r="D27" s="278">
        <f t="shared" si="10"/>
        <v>159.44</v>
      </c>
      <c r="E27" s="278">
        <f t="shared" si="10"/>
        <v>1326.804</v>
      </c>
      <c r="F27" s="279">
        <f t="shared" si="10"/>
        <v>157.70700000000002</v>
      </c>
      <c r="G27" s="279">
        <f t="shared" si="10"/>
        <v>170.33500000000006</v>
      </c>
      <c r="H27" s="280">
        <f t="shared" si="10"/>
        <v>1903.1580000000004</v>
      </c>
      <c r="I27" s="280">
        <f t="shared" si="10"/>
        <v>156.721</v>
      </c>
      <c r="J27" s="280">
        <f t="shared" si="10"/>
        <v>296.07399999999996</v>
      </c>
      <c r="K27" s="280">
        <f t="shared" si="10"/>
        <v>139.71300000000002</v>
      </c>
      <c r="L27" s="280">
        <f>L30+L31</f>
        <v>381.05600000000004</v>
      </c>
      <c r="M27" s="275">
        <f t="shared" si="10"/>
        <v>204.05</v>
      </c>
      <c r="N27" s="276">
        <f t="shared" si="10"/>
        <v>146.18</v>
      </c>
    </row>
    <row r="28" spans="1:14" s="5" customFormat="1" ht="15" thickBot="1">
      <c r="A28" s="147" t="s">
        <v>147</v>
      </c>
      <c r="B28" s="18"/>
      <c r="C28" s="19"/>
      <c r="D28" s="19"/>
      <c r="E28" s="19"/>
      <c r="F28" s="19"/>
      <c r="G28" s="19"/>
      <c r="H28" s="19"/>
      <c r="I28" s="20"/>
      <c r="J28" s="19"/>
      <c r="K28" s="19"/>
      <c r="L28" s="19"/>
      <c r="M28" s="155"/>
      <c r="N28" s="250"/>
    </row>
    <row r="29" spans="1:14" s="5" customFormat="1" ht="15">
      <c r="A29" s="137" t="s">
        <v>101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138"/>
      <c r="N29" s="251"/>
    </row>
    <row r="30" spans="1:14" s="5" customFormat="1" ht="15">
      <c r="A30" s="149" t="s">
        <v>105</v>
      </c>
      <c r="B30" s="15">
        <f>'detaliat extern'!C5</f>
        <v>4018.6090000000004</v>
      </c>
      <c r="C30" s="15">
        <f>'detaliat extern'!D5</f>
        <v>39.81</v>
      </c>
      <c r="D30" s="15">
        <f>'detaliat extern'!E5</f>
        <v>51.18</v>
      </c>
      <c r="E30" s="15">
        <f>'detaliat extern'!F5</f>
        <v>1255.21</v>
      </c>
      <c r="F30" s="15">
        <f>'detaliat extern'!G5</f>
        <v>46.80900000000001</v>
      </c>
      <c r="G30" s="15">
        <f>'detaliat extern'!H5</f>
        <v>51.618000000000094</v>
      </c>
      <c r="H30" s="15">
        <f>'detaliat extern'!I5</f>
        <v>1776.5250000000003</v>
      </c>
      <c r="I30" s="15">
        <f>'detaliat extern'!J5</f>
        <v>64.43599999999999</v>
      </c>
      <c r="J30" s="15">
        <f>'detaliat extern'!K5</f>
        <v>193.72799999999998</v>
      </c>
      <c r="K30" s="15">
        <f>'detaliat extern'!L5</f>
        <v>84.777</v>
      </c>
      <c r="L30" s="15">
        <f>'detaliat extern'!M5</f>
        <v>217.917</v>
      </c>
      <c r="M30" s="148">
        <f>'detaliat extern'!N5</f>
        <v>141.87800000000001</v>
      </c>
      <c r="N30" s="252">
        <f>'detaliat extern'!O5</f>
        <v>94.721</v>
      </c>
    </row>
    <row r="31" spans="1:14" s="5" customFormat="1" ht="15">
      <c r="A31" s="149" t="s">
        <v>148</v>
      </c>
      <c r="B31" s="15">
        <f>'detaliat extern'!C6</f>
        <v>1111.2530000000002</v>
      </c>
      <c r="C31" s="15">
        <f>'detaliat extern'!D6</f>
        <v>48.814</v>
      </c>
      <c r="D31" s="15">
        <f>'detaliat extern'!E6</f>
        <v>108.26</v>
      </c>
      <c r="E31" s="15">
        <f>'detaliat extern'!F6</f>
        <v>71.594</v>
      </c>
      <c r="F31" s="15">
        <f>'detaliat extern'!G6</f>
        <v>110.89800000000001</v>
      </c>
      <c r="G31" s="15">
        <f>'detaliat extern'!H6</f>
        <v>118.71699999999997</v>
      </c>
      <c r="H31" s="15">
        <f>'detaliat extern'!I6</f>
        <v>126.63300000000005</v>
      </c>
      <c r="I31" s="15">
        <f>'detaliat extern'!J6</f>
        <v>92.285</v>
      </c>
      <c r="J31" s="15">
        <f>'detaliat extern'!K6</f>
        <v>102.346</v>
      </c>
      <c r="K31" s="15">
        <f>'detaliat extern'!L6</f>
        <v>54.93600000000001</v>
      </c>
      <c r="L31" s="15">
        <f>'detaliat extern'!M6</f>
        <v>163.139</v>
      </c>
      <c r="M31" s="148">
        <f>'detaliat extern'!N6</f>
        <v>62.17199999999999</v>
      </c>
      <c r="N31" s="252">
        <f>'detaliat extern'!O6</f>
        <v>51.459</v>
      </c>
    </row>
    <row r="32" spans="1:14" s="5" customFormat="1" ht="14.25">
      <c r="A32" s="151" t="s">
        <v>101</v>
      </c>
      <c r="B32" s="21"/>
      <c r="C32" s="8"/>
      <c r="D32" s="8"/>
      <c r="E32" s="8"/>
      <c r="F32" s="8"/>
      <c r="G32" s="8"/>
      <c r="H32" s="8"/>
      <c r="I32" s="8"/>
      <c r="J32" s="8"/>
      <c r="K32" s="8"/>
      <c r="L32" s="8"/>
      <c r="M32" s="138"/>
      <c r="N32" s="251"/>
    </row>
    <row r="33" spans="1:14" s="5" customFormat="1" ht="27">
      <c r="A33" s="142" t="s">
        <v>142</v>
      </c>
      <c r="B33" s="8">
        <f>'detaliat extern'!C8</f>
        <v>5046.644</v>
      </c>
      <c r="C33" s="8">
        <f>'detaliat extern'!D8</f>
        <v>80.096</v>
      </c>
      <c r="D33" s="8">
        <f>'detaliat extern'!E8</f>
        <v>157.31799999999998</v>
      </c>
      <c r="E33" s="8">
        <f>'detaliat extern'!F8</f>
        <v>1319.123</v>
      </c>
      <c r="F33" s="8">
        <f>'detaliat extern'!G8</f>
        <v>156.44600000000003</v>
      </c>
      <c r="G33" s="8">
        <f>'detaliat extern'!H8</f>
        <v>165.80900000000008</v>
      </c>
      <c r="H33" s="8">
        <f>'detaliat extern'!I8</f>
        <v>1884.7380000000003</v>
      </c>
      <c r="I33" s="8">
        <f>'detaliat extern'!J8</f>
        <v>148.06199999999998</v>
      </c>
      <c r="J33" s="8">
        <f>'detaliat extern'!K8</f>
        <v>293.954</v>
      </c>
      <c r="K33" s="8">
        <f>'detaliat extern'!L8</f>
        <v>132.156</v>
      </c>
      <c r="L33" s="8">
        <f>'detaliat extern'!M8</f>
        <v>381.05600000000004</v>
      </c>
      <c r="M33" s="138">
        <f>'detaliat extern'!N8</f>
        <v>199.507</v>
      </c>
      <c r="N33" s="251">
        <f>'detaliat extern'!O8</f>
        <v>128.37900000000002</v>
      </c>
    </row>
    <row r="34" spans="1:14" s="5" customFormat="1" ht="27">
      <c r="A34" s="156" t="s">
        <v>143</v>
      </c>
      <c r="B34" s="157">
        <f>'detaliat extern'!C12</f>
        <v>83.21799999999999</v>
      </c>
      <c r="C34" s="157">
        <f>'detaliat extern'!D12</f>
        <v>8.528</v>
      </c>
      <c r="D34" s="157">
        <f>'detaliat extern'!E12</f>
        <v>2.122</v>
      </c>
      <c r="E34" s="157">
        <f>'detaliat extern'!F12</f>
        <v>7.680999999999999</v>
      </c>
      <c r="F34" s="157">
        <f>'detaliat extern'!G12</f>
        <v>1.261</v>
      </c>
      <c r="G34" s="157">
        <f>'detaliat extern'!H12</f>
        <v>4.526</v>
      </c>
      <c r="H34" s="157">
        <f>'detaliat extern'!I12</f>
        <v>18.42</v>
      </c>
      <c r="I34" s="157">
        <f>'detaliat extern'!J12</f>
        <v>8.658999999999999</v>
      </c>
      <c r="J34" s="157">
        <f>'detaliat extern'!K12</f>
        <v>2.12</v>
      </c>
      <c r="K34" s="157">
        <f>'detaliat extern'!L12</f>
        <v>7.5569999999999995</v>
      </c>
      <c r="L34" s="157">
        <f>'detaliat extern'!M12</f>
        <v>0</v>
      </c>
      <c r="M34" s="145">
        <f>'detaliat extern'!N12</f>
        <v>4.543</v>
      </c>
      <c r="N34" s="253">
        <f>'detaliat extern'!O12</f>
        <v>17.801</v>
      </c>
    </row>
    <row r="35" spans="1:14" s="5" customFormat="1" ht="12.75" customHeight="1">
      <c r="A35" s="13"/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8.75" customHeight="1">
      <c r="A36" s="309" t="s">
        <v>167</v>
      </c>
      <c r="B36" s="309"/>
      <c r="C36" s="309"/>
      <c r="D36" s="309"/>
      <c r="E36" s="309"/>
      <c r="F36" s="309"/>
      <c r="G36" s="309"/>
      <c r="H36" s="309"/>
      <c r="I36" s="309"/>
      <c r="J36" s="1"/>
      <c r="K36" s="1"/>
      <c r="L36" s="1"/>
      <c r="M36" s="1"/>
      <c r="N36" s="1"/>
    </row>
    <row r="37" spans="1:4" ht="12.75">
      <c r="A37" s="114"/>
      <c r="B37" s="36"/>
      <c r="C37" s="36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 t="s">
        <v>9</v>
      </c>
      <c r="M67" s="25"/>
      <c r="N67" s="25"/>
    </row>
    <row r="68" spans="1:14" ht="25.5" customHeight="1">
      <c r="A68" s="299" t="s">
        <v>10</v>
      </c>
      <c r="B68" s="299"/>
      <c r="C68" s="27" t="s">
        <v>11</v>
      </c>
      <c r="D68" s="28" t="s">
        <v>12</v>
      </c>
      <c r="E68" s="27" t="s">
        <v>13</v>
      </c>
      <c r="F68" s="27" t="s">
        <v>14</v>
      </c>
      <c r="G68" s="27" t="s">
        <v>15</v>
      </c>
      <c r="H68" s="27" t="s">
        <v>16</v>
      </c>
      <c r="I68" s="29" t="s">
        <v>17</v>
      </c>
      <c r="J68" s="29" t="s">
        <v>18</v>
      </c>
      <c r="K68" s="27" t="s">
        <v>19</v>
      </c>
      <c r="L68" s="27" t="s">
        <v>20</v>
      </c>
      <c r="M68" s="30" t="s">
        <v>21</v>
      </c>
      <c r="N68" s="30" t="s">
        <v>22</v>
      </c>
    </row>
    <row r="69" spans="1:14" ht="12.75" customHeight="1">
      <c r="A69" s="297" t="s">
        <v>23</v>
      </c>
      <c r="B69" s="297"/>
      <c r="C69" s="31">
        <f>999.99+799.97+2541.35</f>
        <v>4341.3099999999995</v>
      </c>
      <c r="D69" s="25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2.75" customHeight="1">
      <c r="A70" s="297" t="s">
        <v>24</v>
      </c>
      <c r="B70" s="297"/>
      <c r="C70" s="31"/>
      <c r="D70" s="25"/>
      <c r="E70" s="31">
        <f>599.96+1298.62</f>
        <v>1898.58</v>
      </c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2.75" customHeight="1">
      <c r="A71" s="297" t="s">
        <v>25</v>
      </c>
      <c r="B71" s="297"/>
      <c r="C71" s="31"/>
      <c r="D71" s="25"/>
      <c r="E71" s="31">
        <v>2113.5</v>
      </c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2.75" customHeight="1">
      <c r="A72" s="297" t="s">
        <v>26</v>
      </c>
      <c r="B72" s="297"/>
      <c r="C72" s="31"/>
      <c r="D72" s="25"/>
      <c r="E72" s="31"/>
      <c r="F72" s="31">
        <f>1754.44+2289.39</f>
        <v>4043.83</v>
      </c>
      <c r="G72" s="31"/>
      <c r="H72" s="31"/>
      <c r="I72" s="31"/>
      <c r="J72" s="31"/>
      <c r="K72" s="31"/>
      <c r="L72" s="31"/>
      <c r="M72" s="31"/>
      <c r="N72" s="31"/>
    </row>
    <row r="73" spans="1:14" ht="12.75" customHeight="1">
      <c r="A73" s="297" t="s">
        <v>27</v>
      </c>
      <c r="B73" s="297"/>
      <c r="C73" s="31"/>
      <c r="D73" s="32">
        <v>1499.97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2.75" customHeight="1">
      <c r="A74" s="297" t="s">
        <v>28</v>
      </c>
      <c r="B74" s="297"/>
      <c r="C74" s="31"/>
      <c r="D74" s="32">
        <v>959.007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2.75" customHeight="1">
      <c r="A75" s="297" t="s">
        <v>29</v>
      </c>
      <c r="B75" s="297"/>
      <c r="C75" s="31"/>
      <c r="D75" s="25"/>
      <c r="E75" s="31"/>
      <c r="F75" s="31">
        <v>297.5</v>
      </c>
      <c r="G75" s="31"/>
      <c r="H75" s="31"/>
      <c r="I75" s="31"/>
      <c r="J75" s="31"/>
      <c r="K75" s="31"/>
      <c r="L75" s="31"/>
      <c r="M75" s="31"/>
      <c r="N75" s="31"/>
    </row>
    <row r="76" spans="1:14" ht="12.75" customHeight="1">
      <c r="A76" s="297" t="s">
        <v>30</v>
      </c>
      <c r="B76" s="297"/>
      <c r="C76" s="31"/>
      <c r="D76" s="25"/>
      <c r="E76" s="31"/>
      <c r="F76" s="31">
        <v>50</v>
      </c>
      <c r="G76" s="31"/>
      <c r="H76" s="31"/>
      <c r="I76" s="31"/>
      <c r="J76" s="31"/>
      <c r="K76" s="31"/>
      <c r="L76" s="31"/>
      <c r="M76" s="31"/>
      <c r="N76" s="31"/>
    </row>
    <row r="77" spans="1:14" ht="12.75" customHeight="1">
      <c r="A77" s="297" t="s">
        <v>31</v>
      </c>
      <c r="B77" s="297"/>
      <c r="C77" s="31"/>
      <c r="D77" s="25"/>
      <c r="E77" s="31"/>
      <c r="F77" s="31"/>
      <c r="G77" s="31">
        <f>1641.3+999.96</f>
        <v>2641.26</v>
      </c>
      <c r="H77" s="31"/>
      <c r="I77" s="31"/>
      <c r="J77" s="31"/>
      <c r="K77" s="31"/>
      <c r="L77" s="31"/>
      <c r="M77" s="31"/>
      <c r="N77" s="31"/>
    </row>
    <row r="78" spans="1:14" ht="12.75" customHeight="1">
      <c r="A78" s="297" t="s">
        <v>32</v>
      </c>
      <c r="B78" s="297"/>
      <c r="C78" s="31"/>
      <c r="D78" s="25"/>
      <c r="E78" s="31"/>
      <c r="F78" s="31"/>
      <c r="G78" s="31">
        <v>1388.41</v>
      </c>
      <c r="H78" s="31"/>
      <c r="I78" s="31"/>
      <c r="J78" s="31"/>
      <c r="K78" s="31"/>
      <c r="L78" s="31"/>
      <c r="M78" s="31"/>
      <c r="N78" s="31"/>
    </row>
    <row r="79" spans="1:14" s="33" customFormat="1" ht="12.75" customHeight="1">
      <c r="A79" s="297" t="s">
        <v>33</v>
      </c>
      <c r="B79" s="297"/>
      <c r="C79" s="297"/>
      <c r="D79" s="25"/>
      <c r="E79" s="31"/>
      <c r="F79" s="31"/>
      <c r="G79" s="31">
        <f>700*4.26</f>
        <v>2982</v>
      </c>
      <c r="H79" s="31"/>
      <c r="I79" s="31"/>
      <c r="J79" s="31"/>
      <c r="K79" s="31"/>
      <c r="L79" s="31"/>
      <c r="M79" s="31"/>
      <c r="N79" s="31"/>
    </row>
    <row r="80" spans="1:14" ht="12.75" customHeight="1">
      <c r="A80" s="297" t="s">
        <v>34</v>
      </c>
      <c r="B80" s="297"/>
      <c r="C80" s="297"/>
      <c r="D80" s="25"/>
      <c r="E80" s="31"/>
      <c r="F80" s="31"/>
      <c r="G80" s="31"/>
      <c r="H80" s="31">
        <f>1199.94+1399.9+657.15</f>
        <v>3256.9900000000002</v>
      </c>
      <c r="I80" s="31"/>
      <c r="J80" s="31"/>
      <c r="K80" s="31"/>
      <c r="L80" s="31"/>
      <c r="M80" s="31"/>
      <c r="N80" s="31"/>
    </row>
    <row r="81" spans="1:14" ht="12.75" customHeight="1">
      <c r="A81" s="297" t="s">
        <v>35</v>
      </c>
      <c r="B81" s="297"/>
      <c r="C81" s="297"/>
      <c r="D81" s="25"/>
      <c r="E81" s="31"/>
      <c r="F81" s="31"/>
      <c r="G81" s="31"/>
      <c r="H81" s="31">
        <v>18.3</v>
      </c>
      <c r="I81" s="31">
        <f>849.99+900+899.92+1065.6</f>
        <v>3715.5099999999998</v>
      </c>
      <c r="J81" s="31"/>
      <c r="K81" s="31"/>
      <c r="L81" s="31"/>
      <c r="M81" s="31"/>
      <c r="N81" s="31"/>
    </row>
    <row r="82" spans="1:14" ht="12.75" customHeight="1">
      <c r="A82" s="297" t="s">
        <v>36</v>
      </c>
      <c r="B82" s="297"/>
      <c r="C82" s="297"/>
      <c r="D82" s="25"/>
      <c r="E82" s="31"/>
      <c r="F82" s="31"/>
      <c r="G82" s="31"/>
      <c r="H82" s="31"/>
      <c r="I82" s="31"/>
      <c r="J82" s="31"/>
      <c r="K82" s="31">
        <f>999.95+1199.96+116.8+735.67</f>
        <v>3052.38</v>
      </c>
      <c r="L82" s="31"/>
      <c r="M82" s="31"/>
      <c r="N82" s="31"/>
    </row>
    <row r="83" spans="1:14" ht="12.75" customHeight="1">
      <c r="A83" s="297" t="s">
        <v>37</v>
      </c>
      <c r="B83" s="297"/>
      <c r="C83" s="297"/>
      <c r="D83" s="25"/>
      <c r="E83" s="31"/>
      <c r="F83" s="31"/>
      <c r="G83" s="31"/>
      <c r="H83" s="31"/>
      <c r="I83" s="31"/>
      <c r="J83" s="31">
        <f>699.96+699.985+502.3</f>
        <v>1902.2450000000001</v>
      </c>
      <c r="K83" s="31"/>
      <c r="L83" s="31"/>
      <c r="M83" s="31"/>
      <c r="N83" s="31"/>
    </row>
    <row r="84" spans="1:14" ht="12.75" customHeight="1">
      <c r="A84" s="297" t="s">
        <v>38</v>
      </c>
      <c r="B84" s="297"/>
      <c r="C84" s="297"/>
      <c r="D84" s="25"/>
      <c r="E84" s="31"/>
      <c r="F84" s="31"/>
      <c r="G84" s="31"/>
      <c r="H84" s="31"/>
      <c r="I84" s="31"/>
      <c r="J84" s="31"/>
      <c r="K84" s="31"/>
      <c r="L84" s="31">
        <v>4474.3</v>
      </c>
      <c r="M84" s="31"/>
      <c r="N84" s="31"/>
    </row>
    <row r="85" spans="1:14" ht="12.75" customHeight="1">
      <c r="A85" s="297" t="s">
        <v>39</v>
      </c>
      <c r="B85" s="297"/>
      <c r="C85" s="297"/>
      <c r="D85" s="25"/>
      <c r="E85" s="31"/>
      <c r="F85" s="31"/>
      <c r="G85" s="31"/>
      <c r="H85" s="31"/>
      <c r="I85" s="31"/>
      <c r="J85" s="31"/>
      <c r="K85" s="31"/>
      <c r="L85" s="31"/>
      <c r="M85" s="31">
        <f>793.8*4.18</f>
        <v>3318.0839999999994</v>
      </c>
      <c r="N85" s="31"/>
    </row>
    <row r="86" spans="1:14" ht="12.75" customHeight="1">
      <c r="A86" s="301" t="s">
        <v>40</v>
      </c>
      <c r="B86" s="301"/>
      <c r="C86" s="301"/>
      <c r="D86" s="25"/>
      <c r="E86" s="31"/>
      <c r="F86" s="31"/>
      <c r="G86" s="31"/>
      <c r="H86" s="31"/>
      <c r="I86" s="31"/>
      <c r="J86" s="31"/>
      <c r="K86" s="31"/>
      <c r="L86" s="31"/>
      <c r="M86" s="31">
        <v>999.954</v>
      </c>
      <c r="N86" s="31"/>
    </row>
    <row r="87" spans="1:14" ht="12.75" customHeight="1">
      <c r="A87" s="301" t="s">
        <v>41</v>
      </c>
      <c r="B87" s="301"/>
      <c r="C87" s="301"/>
      <c r="D87" s="25"/>
      <c r="E87" s="31"/>
      <c r="F87" s="31"/>
      <c r="G87" s="31"/>
      <c r="H87" s="31"/>
      <c r="I87" s="31"/>
      <c r="J87" s="31"/>
      <c r="K87" s="31"/>
      <c r="L87" s="31"/>
      <c r="M87" s="31">
        <v>249.066</v>
      </c>
      <c r="N87" s="31"/>
    </row>
    <row r="88" spans="1:14" ht="12.75" customHeight="1">
      <c r="A88" s="301" t="s">
        <v>42</v>
      </c>
      <c r="B88" s="301"/>
      <c r="C88" s="301"/>
      <c r="D88" s="25"/>
      <c r="E88" s="31"/>
      <c r="F88" s="31"/>
      <c r="G88" s="31"/>
      <c r="H88" s="31"/>
      <c r="I88" s="31"/>
      <c r="J88" s="31"/>
      <c r="K88" s="31"/>
      <c r="L88" s="31"/>
      <c r="M88" s="31">
        <v>1426.8</v>
      </c>
      <c r="N88" s="31"/>
    </row>
    <row r="89" spans="1:14" ht="12.75" customHeight="1">
      <c r="A89" s="301" t="s">
        <v>43</v>
      </c>
      <c r="B89" s="301"/>
      <c r="C89" s="301"/>
      <c r="D89" s="25"/>
      <c r="E89" s="31"/>
      <c r="F89" s="31"/>
      <c r="G89" s="31"/>
      <c r="H89" s="31"/>
      <c r="I89" s="31"/>
      <c r="J89" s="31"/>
      <c r="K89" s="31"/>
      <c r="L89" s="31"/>
      <c r="M89" s="31"/>
      <c r="N89" s="31">
        <v>1713.4</v>
      </c>
    </row>
    <row r="90" spans="1:14" s="36" customFormat="1" ht="12.75" customHeight="1">
      <c r="A90" s="300"/>
      <c r="B90" s="300"/>
      <c r="C90" s="34">
        <f>SUM(C69:C85)</f>
        <v>4341.3099999999995</v>
      </c>
      <c r="D90" s="35">
        <f>SUM(D73:D89)</f>
        <v>2458.977</v>
      </c>
      <c r="E90" s="34">
        <f aca="true" t="shared" si="11" ref="E90:L90">SUM(E70:E85)</f>
        <v>4012.08</v>
      </c>
      <c r="F90" s="34">
        <f t="shared" si="11"/>
        <v>4391.33</v>
      </c>
      <c r="G90" s="34">
        <f t="shared" si="11"/>
        <v>7011.67</v>
      </c>
      <c r="H90" s="34">
        <f t="shared" si="11"/>
        <v>3275.2900000000004</v>
      </c>
      <c r="I90" s="34">
        <f t="shared" si="11"/>
        <v>3715.5099999999998</v>
      </c>
      <c r="J90" s="34">
        <f t="shared" si="11"/>
        <v>1902.2450000000001</v>
      </c>
      <c r="K90" s="34">
        <f t="shared" si="11"/>
        <v>3052.38</v>
      </c>
      <c r="L90" s="34">
        <f t="shared" si="11"/>
        <v>4474.3</v>
      </c>
      <c r="M90" s="34">
        <f>SUM(M85:M88)</f>
        <v>5993.9039999999995</v>
      </c>
      <c r="N90" s="34">
        <f>SUM(N70:N89)</f>
        <v>1713.4</v>
      </c>
    </row>
    <row r="91" spans="1:14" ht="44.25" customHeight="1">
      <c r="A91" s="27" t="s">
        <v>44</v>
      </c>
      <c r="B91" s="25"/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2">
        <v>0</v>
      </c>
      <c r="I91" s="32">
        <f>'[1]2012'!$H$37</f>
        <v>2649.9</v>
      </c>
      <c r="J91" s="32">
        <f>'[1]2012'!$I$37</f>
        <v>1399.949</v>
      </c>
      <c r="K91" s="32">
        <f>'[1]2012'!$J$37</f>
        <v>3052.4</v>
      </c>
      <c r="L91" s="32">
        <f>'[1]2012'!$K$37</f>
        <v>0</v>
      </c>
      <c r="M91" s="32">
        <f>'[1]2012'!$L$37</f>
        <v>2675.816</v>
      </c>
      <c r="N91" s="32">
        <f>'[1]2012'!$M$37</f>
        <v>1713.4</v>
      </c>
    </row>
    <row r="92" spans="1:14" s="36" customFormat="1" ht="12.75" customHeight="1">
      <c r="A92" s="299" t="s">
        <v>45</v>
      </c>
      <c r="B92" s="299"/>
      <c r="C92" s="34">
        <f aca="true" t="shared" si="12" ref="C92:N92">C91+C90</f>
        <v>4341.3099999999995</v>
      </c>
      <c r="D92" s="34">
        <f t="shared" si="12"/>
        <v>2458.977</v>
      </c>
      <c r="E92" s="34">
        <f t="shared" si="12"/>
        <v>4012.08</v>
      </c>
      <c r="F92" s="34">
        <f t="shared" si="12"/>
        <v>4391.33</v>
      </c>
      <c r="G92" s="34">
        <f t="shared" si="12"/>
        <v>7011.67</v>
      </c>
      <c r="H92" s="34">
        <f t="shared" si="12"/>
        <v>3275.2900000000004</v>
      </c>
      <c r="I92" s="34">
        <f t="shared" si="12"/>
        <v>6365.41</v>
      </c>
      <c r="J92" s="34">
        <f t="shared" si="12"/>
        <v>3302.1940000000004</v>
      </c>
      <c r="K92" s="34">
        <f t="shared" si="12"/>
        <v>6104.780000000001</v>
      </c>
      <c r="L92" s="34">
        <f t="shared" si="12"/>
        <v>4474.3</v>
      </c>
      <c r="M92" s="34">
        <f t="shared" si="12"/>
        <v>8669.72</v>
      </c>
      <c r="N92" s="34">
        <f t="shared" si="12"/>
        <v>3426.8</v>
      </c>
    </row>
    <row r="93" spans="1:14" ht="30.75" customHeight="1">
      <c r="A93" s="301" t="s">
        <v>46</v>
      </c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</row>
  </sheetData>
  <sheetProtection selectLockedCells="1" selectUnlockedCells="1"/>
  <mergeCells count="28">
    <mergeCell ref="A14:A15"/>
    <mergeCell ref="A25:K25"/>
    <mergeCell ref="A36:I3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70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AH35"/>
  <sheetViews>
    <sheetView workbookViewId="0" topLeftCell="A1">
      <selection activeCell="O11" sqref="O11"/>
    </sheetView>
  </sheetViews>
  <sheetFormatPr defaultColWidth="9.140625" defaultRowHeight="12.75"/>
  <cols>
    <col min="1" max="1" width="26.57421875" style="0" customWidth="1"/>
    <col min="2" max="2" width="7.140625" style="0" hidden="1" customWidth="1"/>
    <col min="3" max="3" width="11.28125" style="0" customWidth="1"/>
    <col min="6" max="6" width="9.140625" style="0" bestFit="1" customWidth="1"/>
  </cols>
  <sheetData>
    <row r="2" spans="1:15" ht="12.75">
      <c r="A2" s="124" t="s">
        <v>110</v>
      </c>
      <c r="C2" s="1"/>
      <c r="O2" t="s">
        <v>89</v>
      </c>
    </row>
    <row r="3" spans="2:16" s="38" customFormat="1" ht="12.75">
      <c r="B3" s="39">
        <v>2009</v>
      </c>
      <c r="C3" s="39">
        <v>2018</v>
      </c>
      <c r="D3" s="284" t="s">
        <v>85</v>
      </c>
      <c r="E3" s="284" t="s">
        <v>86</v>
      </c>
      <c r="F3" s="284" t="s">
        <v>77</v>
      </c>
      <c r="G3" s="284" t="s">
        <v>78</v>
      </c>
      <c r="H3" s="284" t="s">
        <v>79</v>
      </c>
      <c r="I3" s="284" t="s">
        <v>80</v>
      </c>
      <c r="J3" s="39" t="s">
        <v>81</v>
      </c>
      <c r="K3" s="39" t="s">
        <v>82</v>
      </c>
      <c r="L3" s="39" t="s">
        <v>83</v>
      </c>
      <c r="M3" s="39" t="s">
        <v>84</v>
      </c>
      <c r="N3" s="39" t="s">
        <v>47</v>
      </c>
      <c r="O3" s="39" t="s">
        <v>48</v>
      </c>
      <c r="P3" s="40"/>
    </row>
    <row r="4" spans="1:34" s="41" customFormat="1" ht="12.75">
      <c r="A4" s="41" t="s">
        <v>49</v>
      </c>
      <c r="B4" s="42">
        <f aca="true" t="shared" si="0" ref="B4:O4">B5+B6</f>
        <v>1375.9</v>
      </c>
      <c r="C4" s="117">
        <f>C5+C6</f>
        <v>5129.862000000001</v>
      </c>
      <c r="D4" s="42">
        <f t="shared" si="0"/>
        <v>88.624</v>
      </c>
      <c r="E4" s="42">
        <f t="shared" si="0"/>
        <v>159.44</v>
      </c>
      <c r="F4" s="42">
        <f t="shared" si="0"/>
        <v>1326.804</v>
      </c>
      <c r="G4" s="42">
        <f t="shared" si="0"/>
        <v>157.70700000000002</v>
      </c>
      <c r="H4" s="42">
        <f t="shared" si="0"/>
        <v>170.33500000000006</v>
      </c>
      <c r="I4" s="42">
        <f t="shared" si="0"/>
        <v>1903.1580000000004</v>
      </c>
      <c r="J4" s="42">
        <f t="shared" si="0"/>
        <v>156.721</v>
      </c>
      <c r="K4" s="42">
        <f t="shared" si="0"/>
        <v>296.07399999999996</v>
      </c>
      <c r="L4" s="42">
        <f t="shared" si="0"/>
        <v>139.71300000000002</v>
      </c>
      <c r="M4" s="42">
        <f t="shared" si="0"/>
        <v>381.05600000000004</v>
      </c>
      <c r="N4" s="42">
        <f t="shared" si="0"/>
        <v>204.05</v>
      </c>
      <c r="O4" s="42">
        <f t="shared" si="0"/>
        <v>146.18</v>
      </c>
      <c r="P4" s="43">
        <f>SUM(D4:N4)</f>
        <v>4983.682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s="45" customFormat="1" ht="12.75">
      <c r="A5" s="45" t="s">
        <v>50</v>
      </c>
      <c r="B5" s="46">
        <f aca="true" t="shared" si="1" ref="B5:O5">B9+B13</f>
        <v>918.5000000000001</v>
      </c>
      <c r="C5" s="46">
        <f>C9+C13</f>
        <v>4018.6090000000004</v>
      </c>
      <c r="D5" s="46">
        <f>D9+D13</f>
        <v>39.81</v>
      </c>
      <c r="E5" s="46">
        <f>E9+E13</f>
        <v>51.18</v>
      </c>
      <c r="F5" s="46">
        <f>F9+F13</f>
        <v>1255.21</v>
      </c>
      <c r="G5" s="46">
        <f t="shared" si="1"/>
        <v>46.80900000000001</v>
      </c>
      <c r="H5" s="46">
        <f t="shared" si="1"/>
        <v>51.618000000000094</v>
      </c>
      <c r="I5" s="46">
        <f t="shared" si="1"/>
        <v>1776.5250000000003</v>
      </c>
      <c r="J5" s="46">
        <f t="shared" si="1"/>
        <v>64.43599999999999</v>
      </c>
      <c r="K5" s="46">
        <f t="shared" si="1"/>
        <v>193.72799999999998</v>
      </c>
      <c r="L5" s="46">
        <f t="shared" si="1"/>
        <v>84.777</v>
      </c>
      <c r="M5" s="46">
        <f t="shared" si="1"/>
        <v>217.917</v>
      </c>
      <c r="N5" s="46">
        <f t="shared" si="1"/>
        <v>141.87800000000001</v>
      </c>
      <c r="O5" s="46">
        <f t="shared" si="1"/>
        <v>94.721</v>
      </c>
      <c r="P5"/>
      <c r="Q5"/>
      <c r="R5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s="48" customFormat="1" ht="12.75">
      <c r="A6" s="48" t="s">
        <v>51</v>
      </c>
      <c r="B6" s="49">
        <f aca="true" t="shared" si="2" ref="B6:O6">B10+B14</f>
        <v>457.4</v>
      </c>
      <c r="C6" s="49">
        <f t="shared" si="2"/>
        <v>1111.2530000000002</v>
      </c>
      <c r="D6" s="49">
        <f>D10+D14</f>
        <v>48.814</v>
      </c>
      <c r="E6" s="49">
        <f>E10+E14</f>
        <v>108.26</v>
      </c>
      <c r="F6" s="49">
        <f>F10+F14</f>
        <v>71.594</v>
      </c>
      <c r="G6" s="49">
        <f t="shared" si="2"/>
        <v>110.89800000000001</v>
      </c>
      <c r="H6" s="49">
        <f t="shared" si="2"/>
        <v>118.71699999999997</v>
      </c>
      <c r="I6" s="49">
        <f t="shared" si="2"/>
        <v>126.63300000000005</v>
      </c>
      <c r="J6" s="49">
        <f t="shared" si="2"/>
        <v>92.285</v>
      </c>
      <c r="K6" s="49">
        <f t="shared" si="2"/>
        <v>102.346</v>
      </c>
      <c r="L6" s="49">
        <f t="shared" si="2"/>
        <v>54.93600000000001</v>
      </c>
      <c r="M6" s="49">
        <f t="shared" si="2"/>
        <v>163.139</v>
      </c>
      <c r="N6" s="49">
        <f t="shared" si="2"/>
        <v>62.17199999999999</v>
      </c>
      <c r="O6" s="49">
        <f t="shared" si="2"/>
        <v>51.459</v>
      </c>
      <c r="P6" s="38"/>
      <c r="Q6" s="38"/>
      <c r="R6" s="38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2:3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41" customFormat="1" ht="12.75">
      <c r="A8" s="41" t="s">
        <v>87</v>
      </c>
      <c r="B8" s="50">
        <f aca="true" t="shared" si="3" ref="B8:O8">B9+B10</f>
        <v>1046.6000000000001</v>
      </c>
      <c r="C8" s="50">
        <f t="shared" si="3"/>
        <v>5046.644</v>
      </c>
      <c r="D8" s="50">
        <f>D9+D10</f>
        <v>80.096</v>
      </c>
      <c r="E8" s="50">
        <f>E9+E10</f>
        <v>157.31799999999998</v>
      </c>
      <c r="F8" s="50">
        <f>F9+F10</f>
        <v>1319.123</v>
      </c>
      <c r="G8" s="50">
        <f t="shared" si="3"/>
        <v>156.44600000000003</v>
      </c>
      <c r="H8" s="51">
        <f t="shared" si="3"/>
        <v>165.80900000000008</v>
      </c>
      <c r="I8" s="51">
        <f t="shared" si="3"/>
        <v>1884.7380000000003</v>
      </c>
      <c r="J8" s="50">
        <f t="shared" si="3"/>
        <v>148.06199999999998</v>
      </c>
      <c r="K8" s="50">
        <f t="shared" si="3"/>
        <v>293.954</v>
      </c>
      <c r="L8" s="50">
        <f t="shared" si="3"/>
        <v>132.156</v>
      </c>
      <c r="M8" s="50">
        <f t="shared" si="3"/>
        <v>381.05600000000004</v>
      </c>
      <c r="N8" s="50">
        <f t="shared" si="3"/>
        <v>199.507</v>
      </c>
      <c r="O8" s="50">
        <f t="shared" si="3"/>
        <v>128.37900000000002</v>
      </c>
      <c r="P8" s="38"/>
      <c r="Q8" s="38"/>
      <c r="R8" s="38"/>
      <c r="S8" s="126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45" customFormat="1" ht="12.75">
      <c r="A9" s="45" t="s">
        <v>50</v>
      </c>
      <c r="B9" s="46">
        <f>606.2+47.2</f>
        <v>653.4000000000001</v>
      </c>
      <c r="C9" s="46">
        <f>SUM(D9:O9)</f>
        <v>3939.6280000000006</v>
      </c>
      <c r="D9" s="46">
        <v>31.303</v>
      </c>
      <c r="E9" s="46">
        <f>80.383-D9</f>
        <v>49.08</v>
      </c>
      <c r="F9" s="46">
        <f>1328.931-D9-E9</f>
        <v>1248.548</v>
      </c>
      <c r="G9" s="46">
        <f>1374.493-E9-F9-D9</f>
        <v>45.56200000000001</v>
      </c>
      <c r="H9" s="46">
        <f>1421.611-F9-G9-E9-D9</f>
        <v>47.118000000000094</v>
      </c>
      <c r="I9" s="46">
        <f>3180.637-G9-H9-F9-E9-D9</f>
        <v>1759.0260000000003</v>
      </c>
      <c r="J9" s="46">
        <f>54.141+1.8</f>
        <v>55.940999999999995</v>
      </c>
      <c r="K9" s="46">
        <f>59.428+132.2</f>
        <v>191.628</v>
      </c>
      <c r="L9" s="46">
        <f>78.874</f>
        <v>78.874</v>
      </c>
      <c r="M9" s="46">
        <v>217.917</v>
      </c>
      <c r="N9" s="46">
        <f>46.978+90.4</f>
        <v>137.37800000000001</v>
      </c>
      <c r="O9" s="46">
        <f>77.153+0.1</f>
        <v>77.253</v>
      </c>
      <c r="P9"/>
      <c r="Q9"/>
      <c r="R9"/>
      <c r="S9" s="12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48" customFormat="1" ht="12.75">
      <c r="A10" s="48" t="s">
        <v>51</v>
      </c>
      <c r="B10" s="49">
        <f>374.7+18.5</f>
        <v>393.2</v>
      </c>
      <c r="C10" s="49">
        <f>SUM(D10:O10)</f>
        <v>1107.016</v>
      </c>
      <c r="D10" s="49">
        <f>48.685+0.108</f>
        <v>48.793</v>
      </c>
      <c r="E10" s="49">
        <f>156.923+0.108-D10</f>
        <v>108.238</v>
      </c>
      <c r="F10" s="49">
        <f>204.983+22.623-D10-E10</f>
        <v>70.57499999999999</v>
      </c>
      <c r="G10" s="49">
        <f>315.714+22.776-E10-F10-D10</f>
        <v>110.88400000000001</v>
      </c>
      <c r="H10" s="49">
        <f>434.162+23.019-F10-G10-E10-D10</f>
        <v>118.69099999999997</v>
      </c>
      <c r="I10" s="49">
        <f>546.61+36.283-G10-H10-F10-E10-D10</f>
        <v>125.71200000000005</v>
      </c>
      <c r="J10" s="49">
        <f>52.041+40.08</f>
        <v>92.121</v>
      </c>
      <c r="K10" s="49">
        <f>117.236-14.91</f>
        <v>102.32600000000001</v>
      </c>
      <c r="L10" s="49">
        <f>104.852-51.57</f>
        <v>53.282000000000004</v>
      </c>
      <c r="M10" s="49">
        <f>202.889-39.75</f>
        <v>163.139</v>
      </c>
      <c r="N10" s="49">
        <f>92.109-29.98</f>
        <v>62.12899999999999</v>
      </c>
      <c r="O10" s="49">
        <f>41.566+9.56</f>
        <v>51.126000000000005</v>
      </c>
      <c r="P10" s="38"/>
      <c r="Q10" s="38"/>
      <c r="R10" s="38"/>
      <c r="S10" s="126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2:34" ht="12.75">
      <c r="B11" s="1"/>
      <c r="C11" s="1"/>
      <c r="D11" s="1"/>
      <c r="E11" s="1"/>
      <c r="F11" s="1"/>
      <c r="G11" s="1"/>
      <c r="H11" s="52"/>
      <c r="I11" s="52"/>
      <c r="J11" s="1"/>
      <c r="K11" s="1"/>
      <c r="L11" s="1"/>
      <c r="M11" s="1"/>
      <c r="N11" s="1"/>
      <c r="O11" s="1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41" customFormat="1" ht="12.75">
      <c r="A12" s="41" t="s">
        <v>88</v>
      </c>
      <c r="B12" s="50">
        <f aca="true" t="shared" si="4" ref="B12:O12">B13+B14</f>
        <v>329.3</v>
      </c>
      <c r="C12" s="50">
        <f t="shared" si="4"/>
        <v>83.21799999999999</v>
      </c>
      <c r="D12" s="50">
        <f t="shared" si="4"/>
        <v>8.528</v>
      </c>
      <c r="E12" s="50">
        <f t="shared" si="4"/>
        <v>2.122</v>
      </c>
      <c r="F12" s="50">
        <f t="shared" si="4"/>
        <v>7.680999999999999</v>
      </c>
      <c r="G12" s="50">
        <f t="shared" si="4"/>
        <v>1.261</v>
      </c>
      <c r="H12" s="51">
        <f t="shared" si="4"/>
        <v>4.526</v>
      </c>
      <c r="I12" s="51">
        <f t="shared" si="4"/>
        <v>18.42</v>
      </c>
      <c r="J12" s="50">
        <f t="shared" si="4"/>
        <v>8.658999999999999</v>
      </c>
      <c r="K12" s="50">
        <f t="shared" si="4"/>
        <v>2.12</v>
      </c>
      <c r="L12" s="50">
        <f t="shared" si="4"/>
        <v>7.5569999999999995</v>
      </c>
      <c r="M12" s="50">
        <f t="shared" si="4"/>
        <v>0</v>
      </c>
      <c r="N12" s="50">
        <f t="shared" si="4"/>
        <v>4.543</v>
      </c>
      <c r="O12" s="50">
        <f t="shared" si="4"/>
        <v>17.801</v>
      </c>
      <c r="P12" s="38"/>
      <c r="Q12" s="38"/>
      <c r="R12" s="3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45" customFormat="1" ht="12.75">
      <c r="A13" s="45" t="s">
        <v>50</v>
      </c>
      <c r="B13" s="46">
        <f>223.9+41.2</f>
        <v>265.1</v>
      </c>
      <c r="C13" s="46">
        <f>SUM(D13:O13)</f>
        <v>78.981</v>
      </c>
      <c r="D13" s="46">
        <v>8.507</v>
      </c>
      <c r="E13" s="46">
        <v>2.1</v>
      </c>
      <c r="F13" s="46">
        <f>17.269-E13-D13</f>
        <v>6.661999999999999</v>
      </c>
      <c r="G13" s="46">
        <f>18.516-F13-E13-D13</f>
        <v>1.2469999999999999</v>
      </c>
      <c r="H13" s="46">
        <f>23.016-G13-F13-E13-D13</f>
        <v>4.5</v>
      </c>
      <c r="I13" s="46">
        <f>40.515-H13-G13-F13-E13-D13</f>
        <v>17.499000000000002</v>
      </c>
      <c r="J13" s="46">
        <v>8.495</v>
      </c>
      <c r="K13" s="46">
        <v>2.1</v>
      </c>
      <c r="L13" s="46">
        <v>5.903</v>
      </c>
      <c r="M13" s="46">
        <v>0</v>
      </c>
      <c r="N13" s="46">
        <v>4.5</v>
      </c>
      <c r="O13" s="46">
        <v>17.468</v>
      </c>
      <c r="P13" s="43"/>
      <c r="Q13" s="47"/>
      <c r="R13" s="47"/>
      <c r="S13" s="126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48" customFormat="1" ht="12.75">
      <c r="A14" s="48" t="s">
        <v>51</v>
      </c>
      <c r="B14" s="49">
        <f>58.5+5.7</f>
        <v>64.2</v>
      </c>
      <c r="C14" s="49">
        <f>SUM(D14:O14)</f>
        <v>4.237</v>
      </c>
      <c r="D14" s="49">
        <v>0.021</v>
      </c>
      <c r="E14" s="49">
        <v>0.022</v>
      </c>
      <c r="F14" s="49">
        <f>1.062-E14-D14</f>
        <v>1.0190000000000001</v>
      </c>
      <c r="G14" s="49">
        <f>1.076-F14-E14-D14</f>
        <v>0.01399999999999994</v>
      </c>
      <c r="H14" s="49">
        <f>1.102-G14-F14-E14-D14</f>
        <v>0.02599999999999995</v>
      </c>
      <c r="I14" s="49">
        <f>2.023-H14-G14-F14-E14-D14</f>
        <v>0.9209999999999999</v>
      </c>
      <c r="J14" s="49">
        <v>0.164</v>
      </c>
      <c r="K14" s="49">
        <v>0.02</v>
      </c>
      <c r="L14" s="49">
        <v>1.654</v>
      </c>
      <c r="M14" s="49">
        <v>0</v>
      </c>
      <c r="N14" s="49">
        <v>0.043</v>
      </c>
      <c r="O14" s="49">
        <v>0.333</v>
      </c>
      <c r="P14" s="43">
        <f>SUM(D14:O14)</f>
        <v>4.237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16" ht="18.75" customHeight="1">
      <c r="A15" s="196" t="s">
        <v>163</v>
      </c>
      <c r="B15" s="1"/>
      <c r="C15" s="1"/>
      <c r="D15" s="1"/>
      <c r="E15" s="1"/>
      <c r="F15" s="1"/>
      <c r="G15" s="1"/>
      <c r="H15" s="53"/>
      <c r="I15" s="1"/>
      <c r="J15" s="1"/>
      <c r="K15" s="1"/>
      <c r="L15" s="1"/>
      <c r="M15" s="1"/>
      <c r="N15" s="1"/>
      <c r="O15" s="1"/>
      <c r="P15" s="54"/>
    </row>
    <row r="16" spans="2:15" s="55" customFormat="1" ht="17.25" customHeight="1" hidden="1">
      <c r="B16" s="56"/>
      <c r="C16" s="56">
        <f aca="true" t="shared" si="5" ref="C16:O16">SUM(C17:C20)</f>
        <v>0</v>
      </c>
      <c r="D16" s="56">
        <f t="shared" si="5"/>
        <v>0</v>
      </c>
      <c r="E16" s="56">
        <f t="shared" si="5"/>
        <v>0</v>
      </c>
      <c r="F16" s="56">
        <f t="shared" si="5"/>
        <v>0</v>
      </c>
      <c r="G16" s="56">
        <f t="shared" si="5"/>
        <v>0</v>
      </c>
      <c r="H16" s="56">
        <f t="shared" si="5"/>
        <v>0</v>
      </c>
      <c r="I16" s="56">
        <f t="shared" si="5"/>
        <v>0</v>
      </c>
      <c r="J16" s="56">
        <f t="shared" si="5"/>
        <v>0</v>
      </c>
      <c r="K16" s="56">
        <f t="shared" si="5"/>
        <v>0</v>
      </c>
      <c r="L16" s="56">
        <f t="shared" si="5"/>
        <v>0</v>
      </c>
      <c r="M16" s="56">
        <f t="shared" si="5"/>
        <v>0</v>
      </c>
      <c r="N16" s="56">
        <f t="shared" si="5"/>
        <v>0</v>
      </c>
      <c r="O16" s="56">
        <f t="shared" si="5"/>
        <v>0</v>
      </c>
    </row>
    <row r="17" spans="1:15" ht="14.25" customHeight="1" hidden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ht="15" customHeight="1" hidden="1">
      <c r="A18" s="55" t="s">
        <v>52</v>
      </c>
      <c r="B18" s="56"/>
      <c r="C18" s="56">
        <f>SUM(D18:O18)</f>
        <v>0</v>
      </c>
      <c r="D18" s="56">
        <v>0</v>
      </c>
      <c r="E18" s="56"/>
      <c r="F18" s="56"/>
      <c r="G18" s="56">
        <v>0</v>
      </c>
      <c r="H18" s="56"/>
      <c r="I18" s="56"/>
      <c r="J18" s="56"/>
      <c r="K18" s="56"/>
      <c r="L18" s="56"/>
      <c r="M18" s="56">
        <v>0</v>
      </c>
      <c r="N18" s="56"/>
      <c r="O18" s="56"/>
    </row>
    <row r="19" spans="1:15" ht="15" customHeight="1" hidden="1">
      <c r="A19" s="55" t="s">
        <v>53</v>
      </c>
      <c r="B19" s="56"/>
      <c r="C19" s="56">
        <f>SUM(D19:O19)</f>
        <v>0</v>
      </c>
      <c r="D19" s="56"/>
      <c r="E19" s="56"/>
      <c r="F19" s="56"/>
      <c r="G19" s="56"/>
      <c r="H19" s="56"/>
      <c r="I19" s="56">
        <v>0</v>
      </c>
      <c r="J19" s="56">
        <v>0</v>
      </c>
      <c r="K19" s="56"/>
      <c r="L19" s="56"/>
      <c r="M19" s="56"/>
      <c r="N19" s="56"/>
      <c r="O19" s="56">
        <v>0</v>
      </c>
    </row>
    <row r="20" spans="1:15" ht="12.75">
      <c r="A20" s="124" t="s">
        <v>109</v>
      </c>
      <c r="O20" t="s">
        <v>9</v>
      </c>
    </row>
    <row r="21" spans="1:15" ht="12.75">
      <c r="A21" s="38"/>
      <c r="B21" s="39">
        <v>2009</v>
      </c>
      <c r="C21" s="39">
        <v>2018</v>
      </c>
      <c r="D21" s="284" t="s">
        <v>85</v>
      </c>
      <c r="E21" s="284" t="s">
        <v>86</v>
      </c>
      <c r="F21" s="284" t="s">
        <v>77</v>
      </c>
      <c r="G21" s="284" t="s">
        <v>78</v>
      </c>
      <c r="H21" s="284" t="s">
        <v>79</v>
      </c>
      <c r="I21" s="284" t="s">
        <v>80</v>
      </c>
      <c r="J21" s="39" t="s">
        <v>81</v>
      </c>
      <c r="K21" s="39" t="s">
        <v>82</v>
      </c>
      <c r="L21" s="39" t="s">
        <v>83</v>
      </c>
      <c r="M21" s="39" t="s">
        <v>84</v>
      </c>
      <c r="N21" s="39" t="s">
        <v>47</v>
      </c>
      <c r="O21" s="39" t="s">
        <v>48</v>
      </c>
    </row>
    <row r="22" spans="1:15" ht="12.75">
      <c r="A22" s="41" t="s">
        <v>49</v>
      </c>
      <c r="B22" s="42">
        <f aca="true" t="shared" si="6" ref="B22:O22">B23+B24</f>
        <v>1375.9</v>
      </c>
      <c r="C22" s="117">
        <f>C23+C24</f>
        <v>23853.858300000004</v>
      </c>
      <c r="D22" s="42">
        <f t="shared" si="6"/>
        <v>412.10159999999996</v>
      </c>
      <c r="E22" s="42">
        <f t="shared" si="6"/>
        <v>741.3960000000001</v>
      </c>
      <c r="F22" s="42">
        <f t="shared" si="6"/>
        <v>6169.6386</v>
      </c>
      <c r="G22" s="42">
        <f t="shared" si="6"/>
        <v>733.3375500000002</v>
      </c>
      <c r="H22" s="42">
        <f t="shared" si="6"/>
        <v>792.0577500000004</v>
      </c>
      <c r="I22" s="42">
        <f t="shared" si="6"/>
        <v>8849.684700000002</v>
      </c>
      <c r="J22" s="42">
        <f t="shared" si="6"/>
        <v>728.7526500000001</v>
      </c>
      <c r="K22" s="42">
        <f t="shared" si="6"/>
        <v>1376.7441000000001</v>
      </c>
      <c r="L22" s="42">
        <f t="shared" si="6"/>
        <v>649.6654500000001</v>
      </c>
      <c r="M22" s="42">
        <f t="shared" si="6"/>
        <v>1771.9104000000002</v>
      </c>
      <c r="N22" s="42">
        <f t="shared" si="6"/>
        <v>948.8325</v>
      </c>
      <c r="O22" s="42">
        <f t="shared" si="6"/>
        <v>679.7370000000001</v>
      </c>
    </row>
    <row r="23" spans="1:15" ht="12.75">
      <c r="A23" s="45" t="s">
        <v>50</v>
      </c>
      <c r="B23" s="46">
        <f aca="true" t="shared" si="7" ref="B23:O23">B27+B31</f>
        <v>918.5000000000001</v>
      </c>
      <c r="C23" s="46">
        <f t="shared" si="7"/>
        <v>18686.531850000003</v>
      </c>
      <c r="D23" s="46">
        <f t="shared" si="7"/>
        <v>185.1165</v>
      </c>
      <c r="E23" s="46">
        <f t="shared" si="7"/>
        <v>237.98700000000002</v>
      </c>
      <c r="F23" s="46">
        <f t="shared" si="7"/>
        <v>5836.7265</v>
      </c>
      <c r="G23" s="46">
        <f t="shared" si="7"/>
        <v>217.66185000000007</v>
      </c>
      <c r="H23" s="46">
        <f t="shared" si="7"/>
        <v>240.02370000000047</v>
      </c>
      <c r="I23" s="46">
        <f t="shared" si="7"/>
        <v>8260.841250000001</v>
      </c>
      <c r="J23" s="46">
        <f t="shared" si="7"/>
        <v>299.6274</v>
      </c>
      <c r="K23" s="46">
        <f t="shared" si="7"/>
        <v>900.8352</v>
      </c>
      <c r="L23" s="46">
        <f t="shared" si="7"/>
        <v>394.21305</v>
      </c>
      <c r="M23" s="46">
        <f t="shared" si="7"/>
        <v>1013.3140500000001</v>
      </c>
      <c r="N23" s="46">
        <f t="shared" si="7"/>
        <v>659.7327</v>
      </c>
      <c r="O23" s="46">
        <f t="shared" si="7"/>
        <v>440.45265</v>
      </c>
    </row>
    <row r="24" spans="1:15" ht="12.75">
      <c r="A24" s="48" t="s">
        <v>51</v>
      </c>
      <c r="B24" s="49">
        <f aca="true" t="shared" si="8" ref="B24:O24">B28+B32</f>
        <v>457.4</v>
      </c>
      <c r="C24" s="49">
        <f t="shared" si="8"/>
        <v>5167.32645</v>
      </c>
      <c r="D24" s="49">
        <f t="shared" si="8"/>
        <v>226.9851</v>
      </c>
      <c r="E24" s="49">
        <f t="shared" si="8"/>
        <v>503.40900000000005</v>
      </c>
      <c r="F24" s="49">
        <f t="shared" si="8"/>
        <v>332.9121</v>
      </c>
      <c r="G24" s="49">
        <f t="shared" si="8"/>
        <v>515.6757000000001</v>
      </c>
      <c r="H24" s="49">
        <f t="shared" si="8"/>
        <v>552.03405</v>
      </c>
      <c r="I24" s="49">
        <f t="shared" si="8"/>
        <v>588.8434500000003</v>
      </c>
      <c r="J24" s="49">
        <f t="shared" si="8"/>
        <v>429.12525000000005</v>
      </c>
      <c r="K24" s="49">
        <f t="shared" si="8"/>
        <v>475.9089000000001</v>
      </c>
      <c r="L24" s="49">
        <f t="shared" si="8"/>
        <v>255.45240000000004</v>
      </c>
      <c r="M24" s="49">
        <f t="shared" si="8"/>
        <v>758.5963500000001</v>
      </c>
      <c r="N24" s="49">
        <f t="shared" si="8"/>
        <v>289.09979999999996</v>
      </c>
      <c r="O24" s="49">
        <f t="shared" si="8"/>
        <v>239.28435000000005</v>
      </c>
    </row>
    <row r="25" spans="2:1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41" t="s">
        <v>87</v>
      </c>
      <c r="B26" s="50">
        <f aca="true" t="shared" si="9" ref="B26:O26">B27+B28</f>
        <v>1046.6000000000001</v>
      </c>
      <c r="C26" s="50">
        <f t="shared" si="9"/>
        <v>23466.894600000003</v>
      </c>
      <c r="D26" s="50">
        <f t="shared" si="9"/>
        <v>372.44640000000004</v>
      </c>
      <c r="E26" s="50">
        <f t="shared" si="9"/>
        <v>731.5287000000001</v>
      </c>
      <c r="F26" s="50">
        <f t="shared" si="9"/>
        <v>6133.92195</v>
      </c>
      <c r="G26" s="50">
        <f t="shared" si="9"/>
        <v>727.4739000000002</v>
      </c>
      <c r="H26" s="51">
        <f t="shared" si="9"/>
        <v>771.0118500000004</v>
      </c>
      <c r="I26" s="51">
        <f t="shared" si="9"/>
        <v>8764.031700000003</v>
      </c>
      <c r="J26" s="50">
        <f t="shared" si="9"/>
        <v>688.4883</v>
      </c>
      <c r="K26" s="50">
        <f t="shared" si="9"/>
        <v>1366.8861000000002</v>
      </c>
      <c r="L26" s="50">
        <f t="shared" si="9"/>
        <v>614.5254</v>
      </c>
      <c r="M26" s="50">
        <f t="shared" si="9"/>
        <v>1771.9104000000002</v>
      </c>
      <c r="N26" s="50">
        <f t="shared" si="9"/>
        <v>927.7075500000001</v>
      </c>
      <c r="O26" s="50">
        <f t="shared" si="9"/>
        <v>596.96235</v>
      </c>
    </row>
    <row r="27" spans="1:15" ht="12.75">
      <c r="A27" s="45" t="s">
        <v>50</v>
      </c>
      <c r="B27" s="46">
        <f>606.2+47.2</f>
        <v>653.4000000000001</v>
      </c>
      <c r="C27" s="46">
        <f>SUM(D27:O27)</f>
        <v>18319.270200000003</v>
      </c>
      <c r="D27" s="46">
        <f>D9*$D$34</f>
        <v>145.55895</v>
      </c>
      <c r="E27" s="46">
        <f>E9*$D$34</f>
        <v>228.222</v>
      </c>
      <c r="F27" s="46">
        <f>F9*$D$34</f>
        <v>5805.7482</v>
      </c>
      <c r="G27" s="46">
        <f aca="true" t="shared" si="10" ref="G27:O27">G9*$D$34</f>
        <v>211.86330000000007</v>
      </c>
      <c r="H27" s="46">
        <f t="shared" si="10"/>
        <v>219.09870000000046</v>
      </c>
      <c r="I27" s="46">
        <f t="shared" si="10"/>
        <v>8179.470900000002</v>
      </c>
      <c r="J27" s="46">
        <f t="shared" si="10"/>
        <v>260.12565</v>
      </c>
      <c r="K27" s="46">
        <f>K9*$D$34</f>
        <v>891.0702</v>
      </c>
      <c r="L27" s="46">
        <f t="shared" si="10"/>
        <v>366.7641</v>
      </c>
      <c r="M27" s="46">
        <f t="shared" si="10"/>
        <v>1013.3140500000001</v>
      </c>
      <c r="N27" s="46">
        <f t="shared" si="10"/>
        <v>638.8077000000001</v>
      </c>
      <c r="O27" s="46">
        <f t="shared" si="10"/>
        <v>359.22645</v>
      </c>
    </row>
    <row r="28" spans="1:15" ht="12.75">
      <c r="A28" s="48" t="s">
        <v>51</v>
      </c>
      <c r="B28" s="49">
        <f>374.7+18.5</f>
        <v>393.2</v>
      </c>
      <c r="C28" s="49">
        <f>SUM(D28:O28)</f>
        <v>5147.6244</v>
      </c>
      <c r="D28" s="49">
        <f>D10*D34</f>
        <v>226.88745</v>
      </c>
      <c r="E28" s="49">
        <f>E10*E34</f>
        <v>503.30670000000003</v>
      </c>
      <c r="F28" s="49">
        <f>F10*F34</f>
        <v>328.17375</v>
      </c>
      <c r="G28" s="49">
        <f aca="true" t="shared" si="11" ref="G28:O28">G10*G34</f>
        <v>515.6106000000001</v>
      </c>
      <c r="H28" s="49">
        <f t="shared" si="11"/>
        <v>551.91315</v>
      </c>
      <c r="I28" s="49">
        <f t="shared" si="11"/>
        <v>584.5608000000003</v>
      </c>
      <c r="J28" s="49">
        <f t="shared" si="11"/>
        <v>428.36265000000003</v>
      </c>
      <c r="K28" s="49">
        <f t="shared" si="11"/>
        <v>475.81590000000006</v>
      </c>
      <c r="L28" s="49">
        <f t="shared" si="11"/>
        <v>247.76130000000003</v>
      </c>
      <c r="M28" s="49">
        <f t="shared" si="11"/>
        <v>758.5963500000001</v>
      </c>
      <c r="N28" s="49">
        <f t="shared" si="11"/>
        <v>288.89984999999996</v>
      </c>
      <c r="O28" s="49">
        <f t="shared" si="11"/>
        <v>237.73590000000004</v>
      </c>
    </row>
    <row r="29" spans="2:15" ht="12.75">
      <c r="B29" s="1"/>
      <c r="C29" s="1"/>
      <c r="D29" s="1"/>
      <c r="E29" s="1"/>
      <c r="F29" s="1"/>
      <c r="G29" s="1"/>
      <c r="H29" s="52"/>
      <c r="I29" s="52"/>
      <c r="J29" s="1"/>
      <c r="K29" s="1"/>
      <c r="L29" s="1"/>
      <c r="M29" s="1"/>
      <c r="N29" s="1"/>
      <c r="O29" s="1"/>
    </row>
    <row r="30" spans="1:15" ht="12.75">
      <c r="A30" s="41" t="s">
        <v>88</v>
      </c>
      <c r="B30" s="50">
        <f aca="true" t="shared" si="12" ref="B30:O30">B31+B32</f>
        <v>329.3</v>
      </c>
      <c r="C30" s="50">
        <f t="shared" si="12"/>
        <v>386.9637</v>
      </c>
      <c r="D30" s="50">
        <f t="shared" si="12"/>
        <v>39.6552</v>
      </c>
      <c r="E30" s="50">
        <f t="shared" si="12"/>
        <v>9.8673</v>
      </c>
      <c r="F30" s="50">
        <f t="shared" si="12"/>
        <v>35.71665</v>
      </c>
      <c r="G30" s="50">
        <f t="shared" si="12"/>
        <v>5.86365</v>
      </c>
      <c r="H30" s="51">
        <f t="shared" si="12"/>
        <v>21.0459</v>
      </c>
      <c r="I30" s="51">
        <f t="shared" si="12"/>
        <v>85.65300000000002</v>
      </c>
      <c r="J30" s="50">
        <f t="shared" si="12"/>
        <v>40.26435</v>
      </c>
      <c r="K30" s="50">
        <f t="shared" si="12"/>
        <v>9.858</v>
      </c>
      <c r="L30" s="50">
        <f t="shared" si="12"/>
        <v>35.14005</v>
      </c>
      <c r="M30" s="50">
        <f t="shared" si="12"/>
        <v>0</v>
      </c>
      <c r="N30" s="50">
        <f t="shared" si="12"/>
        <v>21.124950000000002</v>
      </c>
      <c r="O30" s="50">
        <f t="shared" si="12"/>
        <v>82.77465000000001</v>
      </c>
    </row>
    <row r="31" spans="1:15" ht="12.75">
      <c r="A31" s="45" t="s">
        <v>50</v>
      </c>
      <c r="B31" s="46">
        <f>223.9+41.2</f>
        <v>265.1</v>
      </c>
      <c r="C31" s="46">
        <f>SUM(D31:O31)</f>
        <v>367.26165000000003</v>
      </c>
      <c r="D31" s="46">
        <f>D13*D34</f>
        <v>39.55755</v>
      </c>
      <c r="E31" s="46">
        <f aca="true" t="shared" si="13" ref="E31:O31">E13*E34</f>
        <v>9.765</v>
      </c>
      <c r="F31" s="46">
        <f t="shared" si="13"/>
        <v>30.978299999999997</v>
      </c>
      <c r="G31" s="46">
        <f t="shared" si="13"/>
        <v>5.79855</v>
      </c>
      <c r="H31" s="46">
        <f t="shared" si="13"/>
        <v>20.925</v>
      </c>
      <c r="I31" s="46">
        <f t="shared" si="13"/>
        <v>81.37035000000002</v>
      </c>
      <c r="J31" s="46">
        <f t="shared" si="13"/>
        <v>39.50175</v>
      </c>
      <c r="K31" s="46">
        <f t="shared" si="13"/>
        <v>9.765</v>
      </c>
      <c r="L31" s="46">
        <f t="shared" si="13"/>
        <v>27.44895</v>
      </c>
      <c r="M31" s="46">
        <f t="shared" si="13"/>
        <v>0</v>
      </c>
      <c r="N31" s="46">
        <f t="shared" si="13"/>
        <v>20.925</v>
      </c>
      <c r="O31" s="46">
        <f t="shared" si="13"/>
        <v>81.2262</v>
      </c>
    </row>
    <row r="32" spans="1:15" ht="12.75">
      <c r="A32" s="48" t="s">
        <v>51</v>
      </c>
      <c r="B32" s="49">
        <f>58.5+5.7</f>
        <v>64.2</v>
      </c>
      <c r="C32" s="49">
        <f>SUM(D32:O32)</f>
        <v>19.702050000000003</v>
      </c>
      <c r="D32" s="49">
        <f>D14*D34</f>
        <v>0.09765000000000001</v>
      </c>
      <c r="E32" s="49">
        <f aca="true" t="shared" si="14" ref="E32:O32">E14*E34</f>
        <v>0.1023</v>
      </c>
      <c r="F32" s="49">
        <f t="shared" si="14"/>
        <v>4.738350000000001</v>
      </c>
      <c r="G32" s="49">
        <f t="shared" si="14"/>
        <v>0.06509999999999973</v>
      </c>
      <c r="H32" s="49">
        <f t="shared" si="14"/>
        <v>0.12089999999999977</v>
      </c>
      <c r="I32" s="49">
        <f t="shared" si="14"/>
        <v>4.28265</v>
      </c>
      <c r="J32" s="49">
        <f t="shared" si="14"/>
        <v>0.7626000000000001</v>
      </c>
      <c r="K32" s="49">
        <f t="shared" si="14"/>
        <v>0.09300000000000001</v>
      </c>
      <c r="L32" s="49">
        <f t="shared" si="14"/>
        <v>7.6911000000000005</v>
      </c>
      <c r="M32" s="49">
        <f t="shared" si="14"/>
        <v>0</v>
      </c>
      <c r="N32" s="49">
        <f t="shared" si="14"/>
        <v>0.19995</v>
      </c>
      <c r="O32" s="49">
        <f t="shared" si="14"/>
        <v>1.54845</v>
      </c>
    </row>
    <row r="34" spans="3:15" ht="12.75">
      <c r="C34">
        <v>4.65</v>
      </c>
      <c r="D34">
        <v>4.65</v>
      </c>
      <c r="E34">
        <v>4.65</v>
      </c>
      <c r="F34">
        <v>4.65</v>
      </c>
      <c r="G34">
        <v>4.65</v>
      </c>
      <c r="H34">
        <v>4.65</v>
      </c>
      <c r="I34">
        <v>4.65</v>
      </c>
      <c r="J34">
        <v>4.65</v>
      </c>
      <c r="K34">
        <v>4.65</v>
      </c>
      <c r="L34">
        <v>4.65</v>
      </c>
      <c r="M34">
        <v>4.65</v>
      </c>
      <c r="N34">
        <v>4.65</v>
      </c>
      <c r="O34">
        <v>4.65</v>
      </c>
    </row>
    <row r="35" ht="12.75">
      <c r="A35" s="196" t="s">
        <v>164</v>
      </c>
    </row>
  </sheetData>
  <sheetProtection selectLockedCells="1" selectUnlockedCells="1"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&amp;L&amp;D&amp;R&amp;Z&amp;F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7">
      <selection activeCell="L22" sqref="L22"/>
    </sheetView>
  </sheetViews>
  <sheetFormatPr defaultColWidth="9.140625" defaultRowHeight="12.75"/>
  <cols>
    <col min="1" max="1" width="10.7109375" style="0" customWidth="1"/>
    <col min="2" max="2" width="30.421875" style="0" customWidth="1"/>
    <col min="3" max="3" width="36.7109375" style="0" customWidth="1"/>
    <col min="4" max="8" width="8.140625" style="0" bestFit="1" customWidth="1"/>
    <col min="9" max="9" width="9.140625" style="0" bestFit="1" customWidth="1"/>
    <col min="10" max="14" width="8.140625" style="0" bestFit="1" customWidth="1"/>
    <col min="15" max="15" width="8.7109375" style="0" customWidth="1"/>
    <col min="16" max="16" width="9.140625" style="0" bestFit="1" customWidth="1"/>
    <col min="17" max="17" width="10.140625" style="0" bestFit="1" customWidth="1"/>
    <col min="18" max="18" width="9.00390625" style="0" bestFit="1" customWidth="1"/>
  </cols>
  <sheetData>
    <row r="1" spans="1:16" ht="22.5" customHeight="1" thickBot="1">
      <c r="A1" s="310" t="s">
        <v>158</v>
      </c>
      <c r="B1" s="310"/>
      <c r="C1" s="310"/>
      <c r="D1" s="285">
        <v>43101</v>
      </c>
      <c r="E1" s="285">
        <v>43132</v>
      </c>
      <c r="F1" s="285">
        <v>43160</v>
      </c>
      <c r="G1" s="285">
        <v>43191</v>
      </c>
      <c r="H1" s="285">
        <v>43221</v>
      </c>
      <c r="I1" s="285">
        <v>43252</v>
      </c>
      <c r="J1" s="295">
        <v>43282</v>
      </c>
      <c r="K1" s="295">
        <v>43313</v>
      </c>
      <c r="L1" s="295">
        <v>43344</v>
      </c>
      <c r="M1" s="295">
        <v>43374</v>
      </c>
      <c r="N1" s="295">
        <v>43405</v>
      </c>
      <c r="O1" s="295">
        <v>43435</v>
      </c>
      <c r="P1" s="57" t="s">
        <v>133</v>
      </c>
    </row>
    <row r="2" ht="13.5" thickBot="1"/>
    <row r="3" spans="1:17" ht="13.5" thickBot="1">
      <c r="A3" s="58" t="s">
        <v>54</v>
      </c>
      <c r="B3" s="59" t="s">
        <v>55</v>
      </c>
      <c r="C3" s="60" t="s">
        <v>50</v>
      </c>
      <c r="D3" s="61">
        <f>8047.4+483.2</f>
        <v>8530.6</v>
      </c>
      <c r="E3" s="61">
        <v>1699.98</v>
      </c>
      <c r="F3" s="61">
        <v>1399.95</v>
      </c>
      <c r="G3" s="61">
        <v>799.96</v>
      </c>
      <c r="H3" s="61">
        <f>999.99</f>
        <v>999.99</v>
      </c>
      <c r="I3" s="61">
        <v>999.997</v>
      </c>
      <c r="J3" s="61">
        <v>999.99</v>
      </c>
      <c r="K3" s="61">
        <f>735+799.9</f>
        <v>1534.9</v>
      </c>
      <c r="L3" s="61">
        <v>0</v>
      </c>
      <c r="M3" s="61">
        <v>0</v>
      </c>
      <c r="N3" s="61">
        <f>8083.7+0.3</f>
        <v>8084</v>
      </c>
      <c r="O3" s="61">
        <v>168.61</v>
      </c>
      <c r="P3" s="62">
        <f aca="true" t="shared" si="0" ref="P3:P16">SUM(D3:O3)</f>
        <v>25217.977000000003</v>
      </c>
      <c r="Q3" s="195"/>
    </row>
    <row r="4" spans="1:17" ht="13.5" thickBot="1">
      <c r="A4" s="286"/>
      <c r="B4" s="59"/>
      <c r="C4" s="293" t="s">
        <v>159</v>
      </c>
      <c r="D4" s="291"/>
      <c r="E4" s="291"/>
      <c r="F4" s="291"/>
      <c r="G4" s="291"/>
      <c r="H4" s="291"/>
      <c r="I4" s="291"/>
      <c r="J4" s="291">
        <v>-1.77325373838</v>
      </c>
      <c r="K4" s="291">
        <v>-132.156561428021</v>
      </c>
      <c r="L4" s="291">
        <v>-3.155024E-05</v>
      </c>
      <c r="M4" s="291">
        <v>-0.0220664994</v>
      </c>
      <c r="N4" s="291">
        <v>-90.36378214535</v>
      </c>
      <c r="O4" s="291">
        <v>-0.095959748224</v>
      </c>
      <c r="P4" s="292">
        <f t="shared" si="0"/>
        <v>-224.41165510961503</v>
      </c>
      <c r="Q4" s="195"/>
    </row>
    <row r="5" spans="1:17" ht="13.5" thickBot="1">
      <c r="A5" s="286"/>
      <c r="B5" s="59"/>
      <c r="C5" s="287" t="s">
        <v>160</v>
      </c>
      <c r="D5" s="289">
        <f>D3+D4</f>
        <v>8530.6</v>
      </c>
      <c r="E5" s="289">
        <f>E3+E4*E47</f>
        <v>1699.98</v>
      </c>
      <c r="F5" s="289">
        <f>F3+F4*F47</f>
        <v>1399.95</v>
      </c>
      <c r="G5" s="289">
        <f>G3+G4*G47</f>
        <v>799.96</v>
      </c>
      <c r="H5" s="289">
        <f aca="true" t="shared" si="1" ref="H5:O5">H3+H4*H47</f>
        <v>999.99</v>
      </c>
      <c r="I5" s="289">
        <f t="shared" si="1"/>
        <v>999.997</v>
      </c>
      <c r="J5" s="289">
        <f t="shared" si="1"/>
        <v>991.744370116533</v>
      </c>
      <c r="K5" s="289">
        <f t="shared" si="1"/>
        <v>920.3719893597024</v>
      </c>
      <c r="L5" s="289">
        <f t="shared" si="1"/>
        <v>-0.000146708616</v>
      </c>
      <c r="M5" s="289">
        <f t="shared" si="1"/>
        <v>-0.10260922221000002</v>
      </c>
      <c r="N5" s="289">
        <f t="shared" si="1"/>
        <v>7663.808413024122</v>
      </c>
      <c r="O5" s="289">
        <f t="shared" si="1"/>
        <v>168.1637871707584</v>
      </c>
      <c r="P5" s="288">
        <f t="shared" si="0"/>
        <v>24174.46280374029</v>
      </c>
      <c r="Q5" s="195"/>
    </row>
    <row r="6" spans="1:18" ht="13.5" thickBot="1">
      <c r="A6" s="63"/>
      <c r="B6" s="60" t="s">
        <v>56</v>
      </c>
      <c r="C6" s="60" t="s">
        <v>51</v>
      </c>
      <c r="D6" s="64">
        <v>347.2</v>
      </c>
      <c r="E6" s="64">
        <v>740.29</v>
      </c>
      <c r="F6" s="64">
        <v>461.53</v>
      </c>
      <c r="G6" s="64">
        <v>1535.73</v>
      </c>
      <c r="H6" s="64">
        <v>60.71</v>
      </c>
      <c r="I6" s="64">
        <v>1162.3300000000002</v>
      </c>
      <c r="J6" s="64">
        <v>703.59</v>
      </c>
      <c r="K6" s="64">
        <v>35.22</v>
      </c>
      <c r="L6" s="64">
        <v>42.74</v>
      </c>
      <c r="M6" s="296">
        <v>247.32</v>
      </c>
      <c r="N6" s="64">
        <v>452.68</v>
      </c>
      <c r="O6" s="64">
        <v>294.92</v>
      </c>
      <c r="P6" s="62">
        <f t="shared" si="0"/>
        <v>6084.26</v>
      </c>
      <c r="Q6">
        <v>5395.7</v>
      </c>
      <c r="R6" s="1">
        <f>Q6-P6</f>
        <v>-688.5600000000004</v>
      </c>
    </row>
    <row r="7" spans="1:18" ht="13.5" thickBot="1">
      <c r="A7" s="63"/>
      <c r="B7" s="60"/>
      <c r="C7" s="293" t="s">
        <v>159</v>
      </c>
      <c r="D7" s="294"/>
      <c r="E7" s="294"/>
      <c r="F7" s="294"/>
      <c r="G7" s="294"/>
      <c r="H7" s="294"/>
      <c r="I7" s="294"/>
      <c r="J7" s="294">
        <v>-40.079825251075</v>
      </c>
      <c r="K7" s="294">
        <v>14.914042624561006</v>
      </c>
      <c r="L7" s="294">
        <v>51.569636329915</v>
      </c>
      <c r="M7" s="294">
        <v>39.74607523771499</v>
      </c>
      <c r="N7" s="294">
        <v>29.979853149145995</v>
      </c>
      <c r="O7" s="294">
        <v>-9.560071684394998</v>
      </c>
      <c r="P7" s="292">
        <f>SUM(D7:O7)</f>
        <v>86.569710405867</v>
      </c>
      <c r="R7" s="1"/>
    </row>
    <row r="8" spans="1:18" ht="13.5" thickBot="1">
      <c r="A8" s="63"/>
      <c r="B8" s="60"/>
      <c r="C8" s="287" t="s">
        <v>161</v>
      </c>
      <c r="D8" s="290">
        <f>D6+D7*D47</f>
        <v>347.2</v>
      </c>
      <c r="E8" s="290">
        <f>E6+E7*E47</f>
        <v>740.29</v>
      </c>
      <c r="F8" s="290">
        <f aca="true" t="shared" si="2" ref="F8:O8">F6+F7*F47</f>
        <v>461.53</v>
      </c>
      <c r="G8" s="290">
        <f>G6+G7*G47</f>
        <v>1535.73</v>
      </c>
      <c r="H8" s="290">
        <f t="shared" si="2"/>
        <v>60.71</v>
      </c>
      <c r="I8" s="290">
        <f t="shared" si="2"/>
        <v>1162.3300000000002</v>
      </c>
      <c r="J8" s="290">
        <f t="shared" si="2"/>
        <v>517.2188125825013</v>
      </c>
      <c r="K8" s="290">
        <f>K6+K7*K47</f>
        <v>104.57029820420868</v>
      </c>
      <c r="L8" s="290">
        <f t="shared" si="2"/>
        <v>282.53880893410474</v>
      </c>
      <c r="M8" s="290">
        <f t="shared" si="2"/>
        <v>432.1392498553747</v>
      </c>
      <c r="N8" s="290">
        <f t="shared" si="2"/>
        <v>592.086317143529</v>
      </c>
      <c r="O8" s="290">
        <f t="shared" si="2"/>
        <v>250.46566666756326</v>
      </c>
      <c r="P8" s="288">
        <f>SUM(D8:O8)</f>
        <v>6486.809153387283</v>
      </c>
      <c r="R8" s="1"/>
    </row>
    <row r="9" spans="1:17" ht="13.5" thickBot="1">
      <c r="A9" s="63"/>
      <c r="B9" s="60" t="s">
        <v>57</v>
      </c>
      <c r="C9" s="60" t="s">
        <v>50</v>
      </c>
      <c r="D9" s="65">
        <f>58.6/12</f>
        <v>4.883333333333334</v>
      </c>
      <c r="E9" s="65">
        <f aca="true" t="shared" si="3" ref="E9:O9">58.6/12</f>
        <v>4.883333333333334</v>
      </c>
      <c r="F9" s="65">
        <f t="shared" si="3"/>
        <v>4.883333333333334</v>
      </c>
      <c r="G9" s="65">
        <f t="shared" si="3"/>
        <v>4.883333333333334</v>
      </c>
      <c r="H9" s="65">
        <f t="shared" si="3"/>
        <v>4.883333333333334</v>
      </c>
      <c r="I9" s="65">
        <f t="shared" si="3"/>
        <v>4.883333333333334</v>
      </c>
      <c r="J9" s="65">
        <f t="shared" si="3"/>
        <v>4.883333333333334</v>
      </c>
      <c r="K9" s="65">
        <f t="shared" si="3"/>
        <v>4.883333333333334</v>
      </c>
      <c r="L9" s="65">
        <f t="shared" si="3"/>
        <v>4.883333333333334</v>
      </c>
      <c r="M9" s="65">
        <f t="shared" si="3"/>
        <v>4.883333333333334</v>
      </c>
      <c r="N9" s="65">
        <f t="shared" si="3"/>
        <v>4.883333333333334</v>
      </c>
      <c r="O9" s="65">
        <f t="shared" si="3"/>
        <v>4.883333333333334</v>
      </c>
      <c r="P9" s="62">
        <f>SUM(D9:O9)</f>
        <v>58.6</v>
      </c>
      <c r="Q9">
        <v>65</v>
      </c>
    </row>
    <row r="10" spans="1:16" ht="13.5" thickBot="1">
      <c r="A10" s="63"/>
      <c r="B10" s="60"/>
      <c r="C10" s="60" t="s">
        <v>51</v>
      </c>
      <c r="D10" s="66">
        <f>60/12</f>
        <v>5</v>
      </c>
      <c r="E10" s="66">
        <f aca="true" t="shared" si="4" ref="E10:O10">60/12</f>
        <v>5</v>
      </c>
      <c r="F10" s="66">
        <f t="shared" si="4"/>
        <v>5</v>
      </c>
      <c r="G10" s="66">
        <f t="shared" si="4"/>
        <v>5</v>
      </c>
      <c r="H10" s="66">
        <f t="shared" si="4"/>
        <v>5</v>
      </c>
      <c r="I10" s="66">
        <f t="shared" si="4"/>
        <v>5</v>
      </c>
      <c r="J10" s="66">
        <f t="shared" si="4"/>
        <v>5</v>
      </c>
      <c r="K10" s="66">
        <f t="shared" si="4"/>
        <v>5</v>
      </c>
      <c r="L10" s="66">
        <f t="shared" si="4"/>
        <v>5</v>
      </c>
      <c r="M10" s="66">
        <f t="shared" si="4"/>
        <v>5</v>
      </c>
      <c r="N10" s="66">
        <f t="shared" si="4"/>
        <v>5</v>
      </c>
      <c r="O10" s="66">
        <f t="shared" si="4"/>
        <v>5</v>
      </c>
      <c r="P10" s="62">
        <f t="shared" si="0"/>
        <v>60</v>
      </c>
    </row>
    <row r="11" spans="1:16" ht="13.5" hidden="1" thickBot="1">
      <c r="A11" s="63"/>
      <c r="B11" s="59" t="s">
        <v>58</v>
      </c>
      <c r="C11" s="60" t="s">
        <v>50</v>
      </c>
      <c r="D11" s="68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2">
        <f t="shared" si="0"/>
        <v>0</v>
      </c>
    </row>
    <row r="12" spans="1:16" ht="13.5" hidden="1" thickBot="1">
      <c r="A12" s="63"/>
      <c r="B12" s="60"/>
      <c r="C12" s="60" t="s">
        <v>51</v>
      </c>
      <c r="D12" s="71">
        <v>0</v>
      </c>
      <c r="E12" s="72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2">
        <f t="shared" si="0"/>
        <v>0</v>
      </c>
    </row>
    <row r="13" spans="1:16" ht="13.5" hidden="1" thickBot="1">
      <c r="A13" s="63"/>
      <c r="B13" s="60"/>
      <c r="C13" s="60"/>
      <c r="D13" s="66"/>
      <c r="E13" s="66"/>
      <c r="F13" s="66"/>
      <c r="G13" s="66"/>
      <c r="H13" s="67"/>
      <c r="I13" s="67"/>
      <c r="J13" s="67"/>
      <c r="K13" s="67"/>
      <c r="L13" s="67"/>
      <c r="M13" s="67"/>
      <c r="N13" s="67"/>
      <c r="O13" s="67"/>
      <c r="P13" s="62">
        <f t="shared" si="0"/>
        <v>0</v>
      </c>
    </row>
    <row r="14" spans="1:16" ht="13.5" hidden="1" thickBot="1">
      <c r="A14" s="63"/>
      <c r="B14" s="59" t="s">
        <v>59</v>
      </c>
      <c r="C14" s="60" t="s">
        <v>50</v>
      </c>
      <c r="D14" s="68">
        <v>0</v>
      </c>
      <c r="E14" s="69">
        <v>0</v>
      </c>
      <c r="F14" s="69">
        <v>0</v>
      </c>
      <c r="G14" s="69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4">
        <v>0</v>
      </c>
      <c r="P14" s="62">
        <f t="shared" si="0"/>
        <v>0</v>
      </c>
    </row>
    <row r="15" spans="1:16" ht="13.5" hidden="1" thickBot="1">
      <c r="A15" s="63"/>
      <c r="B15" s="60"/>
      <c r="C15" s="60" t="s">
        <v>51</v>
      </c>
      <c r="D15" s="71">
        <v>0</v>
      </c>
      <c r="E15" s="72">
        <v>0</v>
      </c>
      <c r="F15" s="72">
        <v>0</v>
      </c>
      <c r="G15" s="72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6">
        <v>0</v>
      </c>
      <c r="P15" s="62">
        <f t="shared" si="0"/>
        <v>0</v>
      </c>
    </row>
    <row r="16" spans="1:16" ht="13.5" hidden="1" thickBot="1">
      <c r="A16" s="60"/>
      <c r="B16" s="60"/>
      <c r="C16" s="60"/>
      <c r="D16" s="66"/>
      <c r="E16" s="66"/>
      <c r="F16" s="66"/>
      <c r="G16" s="66"/>
      <c r="H16" s="67"/>
      <c r="I16" s="67"/>
      <c r="J16" s="67"/>
      <c r="K16" s="67"/>
      <c r="L16" s="67"/>
      <c r="M16" s="67"/>
      <c r="N16" s="67"/>
      <c r="O16" s="67"/>
      <c r="P16" s="62">
        <f t="shared" si="0"/>
        <v>0</v>
      </c>
    </row>
    <row r="17" spans="1:17" ht="12.75">
      <c r="A17" s="60"/>
      <c r="B17" s="59" t="s">
        <v>60</v>
      </c>
      <c r="C17" s="60" t="s">
        <v>50</v>
      </c>
      <c r="D17" s="68">
        <v>0</v>
      </c>
      <c r="E17" s="69">
        <v>2.74</v>
      </c>
      <c r="F17" s="69">
        <v>0</v>
      </c>
      <c r="G17" s="69">
        <v>3.35</v>
      </c>
      <c r="H17" s="69">
        <v>0</v>
      </c>
      <c r="I17" s="69">
        <v>0</v>
      </c>
      <c r="J17" s="73">
        <v>0</v>
      </c>
      <c r="K17" s="73">
        <v>2.73</v>
      </c>
      <c r="L17" s="73">
        <v>0</v>
      </c>
      <c r="M17" s="73">
        <v>3.35</v>
      </c>
      <c r="N17" s="73">
        <v>0</v>
      </c>
      <c r="O17" s="73">
        <v>0</v>
      </c>
      <c r="P17" s="78">
        <f>SUM(D17:O17)</f>
        <v>12.17</v>
      </c>
      <c r="Q17" s="194">
        <v>11.8</v>
      </c>
    </row>
    <row r="18" spans="1:17" ht="12.75">
      <c r="A18" s="60"/>
      <c r="B18" s="60"/>
      <c r="C18" s="60" t="s">
        <v>51</v>
      </c>
      <c r="D18" s="71">
        <v>0</v>
      </c>
      <c r="E18" s="72">
        <v>1.12</v>
      </c>
      <c r="F18" s="72">
        <v>0</v>
      </c>
      <c r="G18" s="72">
        <v>1.54</v>
      </c>
      <c r="H18" s="72">
        <v>0</v>
      </c>
      <c r="I18" s="72">
        <v>0</v>
      </c>
      <c r="J18" s="75">
        <v>0</v>
      </c>
      <c r="K18" s="75">
        <v>1.15</v>
      </c>
      <c r="L18" s="75">
        <v>0</v>
      </c>
      <c r="M18" s="75">
        <v>1.5</v>
      </c>
      <c r="N18" s="75">
        <v>0</v>
      </c>
      <c r="O18" s="75">
        <v>0</v>
      </c>
      <c r="P18" s="78">
        <f>SUM(D18:O18)</f>
        <v>5.3100000000000005</v>
      </c>
      <c r="Q18" s="194">
        <v>5.3</v>
      </c>
    </row>
    <row r="19" spans="1:16" ht="15.75" customHeight="1">
      <c r="A19" s="60"/>
      <c r="B19" s="60"/>
      <c r="C19" s="60"/>
      <c r="D19" s="66"/>
      <c r="E19" s="66"/>
      <c r="F19" s="66"/>
      <c r="G19" s="66"/>
      <c r="H19" s="67"/>
      <c r="I19" s="67"/>
      <c r="J19" s="67"/>
      <c r="K19" s="67"/>
      <c r="L19" s="67"/>
      <c r="M19" s="67"/>
      <c r="N19" s="67"/>
      <c r="O19" s="67"/>
      <c r="P19" s="77"/>
    </row>
    <row r="20" spans="1:16" ht="13.5" hidden="1" thickBot="1">
      <c r="A20" s="60"/>
      <c r="B20" s="59" t="s">
        <v>61</v>
      </c>
      <c r="C20" s="60" t="s">
        <v>50</v>
      </c>
      <c r="D20" s="68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9">
        <v>0</v>
      </c>
      <c r="P20" s="70">
        <f>SUM(D20:O20)</f>
        <v>0</v>
      </c>
    </row>
    <row r="21" spans="1:16" ht="3.75" customHeight="1" hidden="1" thickBot="1">
      <c r="A21" s="60"/>
      <c r="B21" s="60"/>
      <c r="C21" s="60" t="s">
        <v>51</v>
      </c>
      <c r="D21" s="71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6">
        <v>0</v>
      </c>
      <c r="P21" s="70">
        <f>SUM(D21:O21)</f>
        <v>0</v>
      </c>
    </row>
    <row r="22" spans="1:16" ht="13.5" thickBot="1">
      <c r="A22" s="60"/>
      <c r="B22" s="60"/>
      <c r="C22" s="60"/>
      <c r="D22" s="80"/>
      <c r="E22" s="80"/>
      <c r="F22" s="80"/>
      <c r="G22" s="80"/>
      <c r="H22" s="81"/>
      <c r="I22" s="81"/>
      <c r="J22" s="81"/>
      <c r="K22" s="81"/>
      <c r="L22" s="81"/>
      <c r="M22" s="81"/>
      <c r="N22" s="81"/>
      <c r="O22" s="81"/>
      <c r="P22" s="77"/>
    </row>
    <row r="23" spans="1:17" ht="13.5" thickBot="1">
      <c r="A23" s="60"/>
      <c r="B23" t="s">
        <v>62</v>
      </c>
      <c r="C23" s="13" t="s">
        <v>63</v>
      </c>
      <c r="D23" s="82">
        <f>30/12</f>
        <v>2.5</v>
      </c>
      <c r="E23" s="82">
        <f aca="true" t="shared" si="5" ref="E23:O23">30/12</f>
        <v>2.5</v>
      </c>
      <c r="F23" s="82">
        <f t="shared" si="5"/>
        <v>2.5</v>
      </c>
      <c r="G23" s="82">
        <f t="shared" si="5"/>
        <v>2.5</v>
      </c>
      <c r="H23" s="82">
        <f t="shared" si="5"/>
        <v>2.5</v>
      </c>
      <c r="I23" s="82">
        <f t="shared" si="5"/>
        <v>2.5</v>
      </c>
      <c r="J23" s="82">
        <f t="shared" si="5"/>
        <v>2.5</v>
      </c>
      <c r="K23" s="82">
        <f t="shared" si="5"/>
        <v>2.5</v>
      </c>
      <c r="L23" s="82">
        <f t="shared" si="5"/>
        <v>2.5</v>
      </c>
      <c r="M23" s="82">
        <f t="shared" si="5"/>
        <v>2.5</v>
      </c>
      <c r="N23" s="82">
        <f t="shared" si="5"/>
        <v>2.5</v>
      </c>
      <c r="O23" s="82">
        <f t="shared" si="5"/>
        <v>2.5</v>
      </c>
      <c r="P23" s="70">
        <f>SUM(D23:O23)</f>
        <v>30</v>
      </c>
      <c r="Q23">
        <v>30</v>
      </c>
    </row>
    <row r="24" spans="1:16" ht="13.5" thickBot="1">
      <c r="A24" s="60"/>
      <c r="B24" s="13" t="s">
        <v>64</v>
      </c>
      <c r="C24" s="13" t="s">
        <v>63</v>
      </c>
      <c r="D24" s="82">
        <v>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70">
        <f>SUM(D24:O24)</f>
        <v>0</v>
      </c>
    </row>
    <row r="25" spans="1:16" ht="13.5" thickBot="1">
      <c r="A25" s="60"/>
      <c r="B25" s="60"/>
      <c r="C25" s="60"/>
      <c r="D25" s="82"/>
      <c r="E25" s="82"/>
      <c r="F25" s="82"/>
      <c r="G25" s="82"/>
      <c r="H25" s="83"/>
      <c r="I25" s="83"/>
      <c r="J25" s="83"/>
      <c r="K25" s="83"/>
      <c r="L25" s="83"/>
      <c r="M25" s="83"/>
      <c r="N25" s="83"/>
      <c r="O25" s="83"/>
      <c r="P25" s="77"/>
    </row>
    <row r="26" spans="3:17" ht="13.5" thickBot="1">
      <c r="C26" s="84" t="s">
        <v>65</v>
      </c>
      <c r="D26" s="68">
        <f>D5+D9+D17</f>
        <v>8535.483333333334</v>
      </c>
      <c r="E26" s="68">
        <f aca="true" t="shared" si="6" ref="E26:O26">E5+E9+E17</f>
        <v>1707.6033333333335</v>
      </c>
      <c r="F26" s="68">
        <f t="shared" si="6"/>
        <v>1404.8333333333335</v>
      </c>
      <c r="G26" s="68">
        <f t="shared" si="6"/>
        <v>808.1933333333334</v>
      </c>
      <c r="H26" s="68">
        <f t="shared" si="6"/>
        <v>1004.8733333333333</v>
      </c>
      <c r="I26" s="68">
        <f t="shared" si="6"/>
        <v>1004.8803333333333</v>
      </c>
      <c r="J26" s="68">
        <f t="shared" si="6"/>
        <v>996.6277034498663</v>
      </c>
      <c r="K26" s="68">
        <f t="shared" si="6"/>
        <v>927.9853226930358</v>
      </c>
      <c r="L26" s="68">
        <f t="shared" si="6"/>
        <v>4.883186624717334</v>
      </c>
      <c r="M26" s="68">
        <f t="shared" si="6"/>
        <v>8.130724111123333</v>
      </c>
      <c r="N26" s="68">
        <f t="shared" si="6"/>
        <v>7668.6917463574555</v>
      </c>
      <c r="O26" s="68">
        <f t="shared" si="6"/>
        <v>173.04712050409174</v>
      </c>
      <c r="P26" s="70">
        <f>SUM(D26:O26)</f>
        <v>24245.232803740288</v>
      </c>
      <c r="Q26" s="68">
        <f>Q3+Q11+Q14+Q20+Q17+Q9</f>
        <v>76.8</v>
      </c>
    </row>
    <row r="27" spans="3:17" ht="13.5" thickBot="1">
      <c r="C27" s="85" t="s">
        <v>66</v>
      </c>
      <c r="D27" s="71">
        <f>D8+D10+D18+D23+D24</f>
        <v>354.7</v>
      </c>
      <c r="E27" s="71">
        <f aca="true" t="shared" si="7" ref="E27:O27">E8+E10+E18+E23+E24</f>
        <v>748.91</v>
      </c>
      <c r="F27" s="71">
        <f t="shared" si="7"/>
        <v>469.03</v>
      </c>
      <c r="G27" s="71">
        <f t="shared" si="7"/>
        <v>1544.77</v>
      </c>
      <c r="H27" s="71">
        <f t="shared" si="7"/>
        <v>68.21000000000001</v>
      </c>
      <c r="I27" s="71">
        <f t="shared" si="7"/>
        <v>1169.8300000000002</v>
      </c>
      <c r="J27" s="71">
        <f t="shared" si="7"/>
        <v>524.7188125825013</v>
      </c>
      <c r="K27" s="71">
        <f t="shared" si="7"/>
        <v>113.22029820420869</v>
      </c>
      <c r="L27" s="71">
        <f t="shared" si="7"/>
        <v>290.03880893410474</v>
      </c>
      <c r="M27" s="71">
        <f t="shared" si="7"/>
        <v>441.1392498553747</v>
      </c>
      <c r="N27" s="71">
        <f t="shared" si="7"/>
        <v>599.586317143529</v>
      </c>
      <c r="O27" s="71">
        <f t="shared" si="7"/>
        <v>257.96566666756326</v>
      </c>
      <c r="P27" s="70">
        <f>SUM(D27:O27)</f>
        <v>6582.1191533872825</v>
      </c>
      <c r="Q27" s="71">
        <f>P6+P10+P18+P23</f>
        <v>6179.570000000001</v>
      </c>
    </row>
    <row r="28" spans="2:16" ht="13.5" thickBot="1">
      <c r="B28" s="36"/>
      <c r="C28" s="86" t="s">
        <v>67</v>
      </c>
      <c r="D28" s="87">
        <f aca="true" t="shared" si="8" ref="D28:O28">D26+D27</f>
        <v>8890.183333333334</v>
      </c>
      <c r="E28" s="88">
        <f t="shared" si="8"/>
        <v>2456.5133333333333</v>
      </c>
      <c r="F28" s="88">
        <f t="shared" si="8"/>
        <v>1873.8633333333335</v>
      </c>
      <c r="G28" s="88">
        <f t="shared" si="8"/>
        <v>2352.963333333333</v>
      </c>
      <c r="H28" s="88">
        <f t="shared" si="8"/>
        <v>1073.0833333333333</v>
      </c>
      <c r="I28" s="88">
        <f t="shared" si="8"/>
        <v>2174.7103333333334</v>
      </c>
      <c r="J28" s="88">
        <f t="shared" si="8"/>
        <v>1521.3465160323676</v>
      </c>
      <c r="K28" s="88">
        <f t="shared" si="8"/>
        <v>1041.2056208972444</v>
      </c>
      <c r="L28" s="88">
        <f t="shared" si="8"/>
        <v>294.92199555882206</v>
      </c>
      <c r="M28" s="88">
        <f t="shared" si="8"/>
        <v>449.26997396649807</v>
      </c>
      <c r="N28" s="88">
        <f t="shared" si="8"/>
        <v>8268.278063500984</v>
      </c>
      <c r="O28" s="89">
        <f t="shared" si="8"/>
        <v>431.01278717165496</v>
      </c>
      <c r="P28" s="90">
        <f>SUM(P26:P27)</f>
        <v>30827.35195712757</v>
      </c>
    </row>
    <row r="29" spans="4:16" ht="13.5" thickBot="1">
      <c r="D29" s="66"/>
      <c r="E29" s="66"/>
      <c r="F29" s="66"/>
      <c r="G29" s="66"/>
      <c r="H29" s="67"/>
      <c r="I29" s="67"/>
      <c r="J29" s="67"/>
      <c r="K29" s="67"/>
      <c r="L29" s="67"/>
      <c r="M29" s="67"/>
      <c r="N29" s="67"/>
      <c r="O29" s="67"/>
      <c r="P29" s="67"/>
    </row>
    <row r="30" spans="4:16" ht="13.5" thickBot="1">
      <c r="D30" s="66"/>
      <c r="E30" s="66"/>
      <c r="F30" s="66"/>
      <c r="G30" s="66"/>
      <c r="H30" s="67"/>
      <c r="I30" s="67"/>
      <c r="J30" s="67"/>
      <c r="K30" s="67"/>
      <c r="L30" s="67"/>
      <c r="M30" s="67"/>
      <c r="N30" s="67"/>
      <c r="O30" s="67"/>
      <c r="P30" s="70">
        <f>SUM(D30:O30)</f>
        <v>0</v>
      </c>
    </row>
    <row r="31" spans="4:16" ht="13.5" thickBot="1">
      <c r="D31" s="66"/>
      <c r="E31" s="66"/>
      <c r="F31" s="66"/>
      <c r="G31" s="66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13.5" thickBot="1">
      <c r="A32" s="58" t="s">
        <v>68</v>
      </c>
      <c r="B32" s="59" t="s">
        <v>69</v>
      </c>
      <c r="C32" s="60" t="s">
        <v>50</v>
      </c>
      <c r="D32" s="68">
        <v>0</v>
      </c>
      <c r="E32" s="69">
        <v>0</v>
      </c>
      <c r="F32" s="69">
        <v>0</v>
      </c>
      <c r="G32" s="69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9">
        <v>0</v>
      </c>
      <c r="P32" s="70">
        <f>SUM(D32:O32)</f>
        <v>0</v>
      </c>
    </row>
    <row r="33" spans="1:16" ht="13.5" thickBot="1">
      <c r="A33" s="63"/>
      <c r="B33" s="60"/>
      <c r="C33" s="60" t="s">
        <v>51</v>
      </c>
      <c r="D33" s="71">
        <v>0</v>
      </c>
      <c r="E33" s="91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92">
        <v>0</v>
      </c>
      <c r="P33" s="70">
        <f>SUM(D33:O33)</f>
        <v>0</v>
      </c>
    </row>
    <row r="34" spans="1:16" ht="12.75" hidden="1">
      <c r="A34" s="63"/>
      <c r="B34" s="60"/>
      <c r="C34" s="60"/>
      <c r="D34" s="66"/>
      <c r="E34" s="66"/>
      <c r="F34" s="66"/>
      <c r="G34" s="66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12.75" hidden="1">
      <c r="A35" s="63"/>
      <c r="B35" s="59" t="s">
        <v>70</v>
      </c>
      <c r="C35" s="60" t="s">
        <v>50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93">
        <f>SUM(D35:O35)</f>
        <v>0</v>
      </c>
    </row>
    <row r="36" spans="1:16" ht="13.5" hidden="1" thickBot="1">
      <c r="A36" s="63"/>
      <c r="B36" s="59" t="s">
        <v>71</v>
      </c>
      <c r="C36" s="60" t="s">
        <v>51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70">
        <f>SUM(D36:O36)</f>
        <v>0</v>
      </c>
    </row>
    <row r="37" spans="1:16" ht="13.5" thickBot="1">
      <c r="A37" s="63"/>
      <c r="B37" s="95"/>
      <c r="C37" s="60"/>
      <c r="D37" s="66"/>
      <c r="E37" s="66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thickBot="1">
      <c r="A38" s="60"/>
      <c r="B38" s="95" t="s">
        <v>72</v>
      </c>
      <c r="C38" s="96" t="s">
        <v>50</v>
      </c>
      <c r="D38" s="97">
        <f>590/12</f>
        <v>49.166666666666664</v>
      </c>
      <c r="E38" s="97">
        <f aca="true" t="shared" si="9" ref="E38:O38">590/12</f>
        <v>49.166666666666664</v>
      </c>
      <c r="F38" s="97">
        <f t="shared" si="9"/>
        <v>49.166666666666664</v>
      </c>
      <c r="G38" s="97">
        <f t="shared" si="9"/>
        <v>49.166666666666664</v>
      </c>
      <c r="H38" s="97">
        <f t="shared" si="9"/>
        <v>49.166666666666664</v>
      </c>
      <c r="I38" s="97">
        <f t="shared" si="9"/>
        <v>49.166666666666664</v>
      </c>
      <c r="J38" s="97">
        <f t="shared" si="9"/>
        <v>49.166666666666664</v>
      </c>
      <c r="K38" s="97">
        <f t="shared" si="9"/>
        <v>49.166666666666664</v>
      </c>
      <c r="L38" s="97">
        <f t="shared" si="9"/>
        <v>49.166666666666664</v>
      </c>
      <c r="M38" s="97">
        <f t="shared" si="9"/>
        <v>49.166666666666664</v>
      </c>
      <c r="N38" s="97">
        <f t="shared" si="9"/>
        <v>49.166666666666664</v>
      </c>
      <c r="O38" s="97">
        <f t="shared" si="9"/>
        <v>49.166666666666664</v>
      </c>
      <c r="P38" s="98">
        <f>SUM(D38:O38)</f>
        <v>590</v>
      </c>
    </row>
    <row r="39" spans="3:16" ht="13.5" thickBot="1">
      <c r="C39" s="84" t="s">
        <v>65</v>
      </c>
      <c r="D39" s="80">
        <f aca="true" t="shared" si="10" ref="D39:O39">D32+D35+D38</f>
        <v>49.166666666666664</v>
      </c>
      <c r="E39" s="80">
        <f t="shared" si="10"/>
        <v>49.166666666666664</v>
      </c>
      <c r="F39" s="80">
        <f t="shared" si="10"/>
        <v>49.166666666666664</v>
      </c>
      <c r="G39" s="80">
        <f t="shared" si="10"/>
        <v>49.166666666666664</v>
      </c>
      <c r="H39" s="80">
        <f t="shared" si="10"/>
        <v>49.166666666666664</v>
      </c>
      <c r="I39" s="80">
        <f t="shared" si="10"/>
        <v>49.166666666666664</v>
      </c>
      <c r="J39" s="80">
        <f t="shared" si="10"/>
        <v>49.166666666666664</v>
      </c>
      <c r="K39" s="80">
        <f t="shared" si="10"/>
        <v>49.166666666666664</v>
      </c>
      <c r="L39" s="80">
        <f t="shared" si="10"/>
        <v>49.166666666666664</v>
      </c>
      <c r="M39" s="80">
        <f t="shared" si="10"/>
        <v>49.166666666666664</v>
      </c>
      <c r="N39" s="80">
        <f t="shared" si="10"/>
        <v>49.166666666666664</v>
      </c>
      <c r="O39" s="99">
        <f t="shared" si="10"/>
        <v>49.166666666666664</v>
      </c>
      <c r="P39" s="100">
        <f>SUM(D39:O39)</f>
        <v>590</v>
      </c>
    </row>
    <row r="40" spans="3:16" ht="13.5" thickBot="1">
      <c r="C40" s="85" t="s">
        <v>66</v>
      </c>
      <c r="D40" s="101">
        <f aca="true" t="shared" si="11" ref="D40:O40">D33+D36</f>
        <v>0</v>
      </c>
      <c r="E40" s="102">
        <f t="shared" si="11"/>
        <v>0</v>
      </c>
      <c r="F40" s="102">
        <f t="shared" si="11"/>
        <v>0</v>
      </c>
      <c r="G40" s="102">
        <f t="shared" si="11"/>
        <v>0</v>
      </c>
      <c r="H40" s="102">
        <f t="shared" si="11"/>
        <v>0</v>
      </c>
      <c r="I40" s="102">
        <f t="shared" si="11"/>
        <v>0</v>
      </c>
      <c r="J40" s="102">
        <f t="shared" si="11"/>
        <v>0</v>
      </c>
      <c r="K40" s="102">
        <f t="shared" si="11"/>
        <v>0</v>
      </c>
      <c r="L40" s="102">
        <f t="shared" si="11"/>
        <v>0</v>
      </c>
      <c r="M40" s="102">
        <f t="shared" si="11"/>
        <v>0</v>
      </c>
      <c r="N40" s="102">
        <f t="shared" si="11"/>
        <v>0</v>
      </c>
      <c r="O40" s="103">
        <f t="shared" si="11"/>
        <v>0</v>
      </c>
      <c r="P40" s="70">
        <f>SUM(D40:O40)</f>
        <v>0</v>
      </c>
    </row>
    <row r="41" spans="3:16" ht="13.5" thickBot="1">
      <c r="C41" s="86" t="s">
        <v>73</v>
      </c>
      <c r="D41" s="104">
        <f aca="true" t="shared" si="12" ref="D41:O41">D39+D40</f>
        <v>49.166666666666664</v>
      </c>
      <c r="E41" s="105">
        <f t="shared" si="12"/>
        <v>49.166666666666664</v>
      </c>
      <c r="F41" s="105">
        <f t="shared" si="12"/>
        <v>49.166666666666664</v>
      </c>
      <c r="G41" s="105">
        <f t="shared" si="12"/>
        <v>49.166666666666664</v>
      </c>
      <c r="H41" s="105">
        <f t="shared" si="12"/>
        <v>49.166666666666664</v>
      </c>
      <c r="I41" s="105">
        <f t="shared" si="12"/>
        <v>49.166666666666664</v>
      </c>
      <c r="J41" s="105">
        <f t="shared" si="12"/>
        <v>49.166666666666664</v>
      </c>
      <c r="K41" s="105">
        <f t="shared" si="12"/>
        <v>49.166666666666664</v>
      </c>
      <c r="L41" s="105">
        <f t="shared" si="12"/>
        <v>49.166666666666664</v>
      </c>
      <c r="M41" s="105">
        <f t="shared" si="12"/>
        <v>49.166666666666664</v>
      </c>
      <c r="N41" s="105">
        <f t="shared" si="12"/>
        <v>49.166666666666664</v>
      </c>
      <c r="O41" s="106">
        <f t="shared" si="12"/>
        <v>49.166666666666664</v>
      </c>
      <c r="P41" s="90">
        <f>SUM(P39:P40)</f>
        <v>590</v>
      </c>
    </row>
    <row r="42" spans="4:16" ht="12.75"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</row>
    <row r="43" spans="4:16" ht="13.5" thickBot="1">
      <c r="D43" s="66"/>
      <c r="E43" s="66"/>
      <c r="F43" s="66"/>
      <c r="G43" s="66"/>
      <c r="H43" s="67"/>
      <c r="I43" s="67"/>
      <c r="J43" s="67"/>
      <c r="K43" s="67"/>
      <c r="L43" s="67"/>
      <c r="M43" s="67"/>
      <c r="N43" s="67"/>
      <c r="O43" s="67"/>
      <c r="P43" s="67"/>
    </row>
    <row r="44" spans="3:16" ht="13.5" thickBot="1">
      <c r="C44" s="107" t="s">
        <v>74</v>
      </c>
      <c r="D44" s="108">
        <f>D26+D39</f>
        <v>8584.65</v>
      </c>
      <c r="E44" s="109">
        <f aca="true" t="shared" si="13" ref="E44:O44">E26+E39</f>
        <v>1756.7700000000002</v>
      </c>
      <c r="F44" s="109">
        <f t="shared" si="13"/>
        <v>1454.0000000000002</v>
      </c>
      <c r="G44" s="109">
        <f>G26+G39</f>
        <v>857.36</v>
      </c>
      <c r="H44" s="109">
        <f t="shared" si="13"/>
        <v>1054.04</v>
      </c>
      <c r="I44" s="109">
        <f t="shared" si="13"/>
        <v>1054.047</v>
      </c>
      <c r="J44" s="109">
        <f t="shared" si="13"/>
        <v>1045.794370116533</v>
      </c>
      <c r="K44" s="109">
        <f t="shared" si="13"/>
        <v>977.1519893597024</v>
      </c>
      <c r="L44" s="109">
        <f t="shared" si="13"/>
        <v>54.049853291384</v>
      </c>
      <c r="M44" s="109">
        <f t="shared" si="13"/>
        <v>57.29739077779</v>
      </c>
      <c r="N44" s="109">
        <f t="shared" si="13"/>
        <v>7717.8584130241225</v>
      </c>
      <c r="O44" s="70">
        <f t="shared" si="13"/>
        <v>222.2137871707584</v>
      </c>
      <c r="P44" s="70">
        <f>SUM(D44:O44)</f>
        <v>24835.23280374029</v>
      </c>
    </row>
    <row r="45" spans="3:16" ht="13.5" thickBot="1">
      <c r="C45" s="58" t="s">
        <v>75</v>
      </c>
      <c r="D45" s="110">
        <f aca="true" t="shared" si="14" ref="D45:O45">D27+D40</f>
        <v>354.7</v>
      </c>
      <c r="E45" s="109">
        <f t="shared" si="14"/>
        <v>748.91</v>
      </c>
      <c r="F45" s="109">
        <f t="shared" si="14"/>
        <v>469.03</v>
      </c>
      <c r="G45" s="109">
        <f t="shared" si="14"/>
        <v>1544.77</v>
      </c>
      <c r="H45" s="109">
        <f t="shared" si="14"/>
        <v>68.21000000000001</v>
      </c>
      <c r="I45" s="109">
        <f>I27+I40</f>
        <v>1169.8300000000002</v>
      </c>
      <c r="J45" s="109">
        <f t="shared" si="14"/>
        <v>524.7188125825013</v>
      </c>
      <c r="K45" s="109">
        <f t="shared" si="14"/>
        <v>113.22029820420869</v>
      </c>
      <c r="L45" s="109">
        <f t="shared" si="14"/>
        <v>290.03880893410474</v>
      </c>
      <c r="M45" s="109">
        <f t="shared" si="14"/>
        <v>441.1392498553747</v>
      </c>
      <c r="N45" s="109">
        <f t="shared" si="14"/>
        <v>599.586317143529</v>
      </c>
      <c r="O45" s="109">
        <f t="shared" si="14"/>
        <v>257.96566666756326</v>
      </c>
      <c r="P45" s="111">
        <f>SUM(D45:O45)</f>
        <v>6582.1191533872825</v>
      </c>
    </row>
    <row r="46" spans="4:16" ht="12.75">
      <c r="D46" s="112">
        <f aca="true" t="shared" si="15" ref="D46:O46">SUM(D44:D45)</f>
        <v>8939.35</v>
      </c>
      <c r="E46" s="112">
        <f t="shared" si="15"/>
        <v>2505.6800000000003</v>
      </c>
      <c r="F46" s="112">
        <f t="shared" si="15"/>
        <v>1923.0300000000002</v>
      </c>
      <c r="G46" s="112">
        <f t="shared" si="15"/>
        <v>2402.13</v>
      </c>
      <c r="H46" s="112">
        <f t="shared" si="15"/>
        <v>1122.25</v>
      </c>
      <c r="I46" s="112">
        <f t="shared" si="15"/>
        <v>2223.8770000000004</v>
      </c>
      <c r="J46" s="112">
        <f t="shared" si="15"/>
        <v>1570.5131826990341</v>
      </c>
      <c r="K46" s="112">
        <f t="shared" si="15"/>
        <v>1090.372287563911</v>
      </c>
      <c r="L46" s="112">
        <f t="shared" si="15"/>
        <v>344.08866222548875</v>
      </c>
      <c r="M46" s="112">
        <f t="shared" si="15"/>
        <v>498.4366406331647</v>
      </c>
      <c r="N46" s="112">
        <f t="shared" si="15"/>
        <v>8317.444730167652</v>
      </c>
      <c r="O46" s="112">
        <f t="shared" si="15"/>
        <v>480.17945383832165</v>
      </c>
      <c r="P46" s="112">
        <f>SUM(P44:P45)</f>
        <v>31417.351957127576</v>
      </c>
    </row>
    <row r="47" spans="4:15" ht="12.75">
      <c r="D47">
        <v>4.65</v>
      </c>
      <c r="E47">
        <v>4.65</v>
      </c>
      <c r="F47">
        <v>4.65</v>
      </c>
      <c r="G47">
        <v>4.65</v>
      </c>
      <c r="H47">
        <v>4.65</v>
      </c>
      <c r="I47">
        <v>4.65</v>
      </c>
      <c r="J47">
        <v>4.65</v>
      </c>
      <c r="K47">
        <v>4.65</v>
      </c>
      <c r="L47">
        <v>4.65</v>
      </c>
      <c r="M47">
        <v>4.65</v>
      </c>
      <c r="N47">
        <v>4.65</v>
      </c>
      <c r="O47">
        <v>4.65</v>
      </c>
    </row>
    <row r="49" spans="4:16" ht="12.75"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4:16" ht="12.75"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4:16" ht="12.75"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3" ht="12.75">
      <c r="P53" s="67"/>
    </row>
  </sheetData>
  <sheetProtection selectLockedCells="1" selectUnlockedCells="1"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2018-01-04T13:07:25Z</cp:lastPrinted>
  <dcterms:created xsi:type="dcterms:W3CDTF">2015-04-24T09:04:58Z</dcterms:created>
  <dcterms:modified xsi:type="dcterms:W3CDTF">2018-08-28T12:54:12Z</dcterms:modified>
  <cp:category/>
  <cp:version/>
  <cp:contentType/>
  <cp:contentStatus/>
</cp:coreProperties>
</file>