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2" tabRatio="813" firstSheet="2" activeTab="2"/>
  </bookViews>
  <sheets>
    <sheet name="2000 - 2016 mai cxalcule" sheetId="1" state="hidden" r:id="rId1"/>
    <sheet name="2008 - 2017 dec " sheetId="2" state="hidden" r:id="rId2"/>
    <sheet name="2000 - 2018 " sheetId="3" r:id="rId3"/>
  </sheets>
  <definedNames>
    <definedName name="Excel_BuiltIn_Print_Area" localSheetId="0">'2000 - 2016 mai cxalcule'!$A$5:$BB$66</definedName>
    <definedName name="Excel_BuiltIn_Print_Area" localSheetId="2">'2000 - 2018 '!$A$1:$O$62</definedName>
    <definedName name="Excel_BuiltIn_Print_Area" localSheetId="1">'2008 - 2017 dec '!$A$1:$BB$67</definedName>
    <definedName name="Excel_BuiltIn_Print_Area">#N/A</definedName>
    <definedName name="Excel_BuiltIn_Print_Titles">NA()</definedName>
    <definedName name="_xlnm.Print_Area" localSheetId="0">'2000 - 2016 mai cxalcule'!$A$1:$BZ$66</definedName>
    <definedName name="_xlnm.Print_Area" localSheetId="2">'2000 - 2018 '!$A$1:$Y$62</definedName>
    <definedName name="_xlnm.Print_Area" localSheetId="1">'2008 - 2017 dec '!$A$1:$CR$67</definedName>
  </definedNames>
  <calcPr fullCalcOnLoad="1"/>
</workbook>
</file>

<file path=xl/comments2.xml><?xml version="1.0" encoding="utf-8"?>
<comments xmlns="http://schemas.openxmlformats.org/spreadsheetml/2006/main">
  <authors>
    <author>SIMONA-DANA NICULAE</author>
  </authors>
  <commentList>
    <comment ref="CF2" authorId="0">
      <text>
        <r>
          <rPr>
            <b/>
            <sz val="9"/>
            <rFont val="Tahoma"/>
            <family val="2"/>
          </rPr>
          <t>SIMONA-DANA NICULAE:</t>
        </r>
        <r>
          <rPr>
            <sz val="9"/>
            <rFont val="Tahoma"/>
            <family val="2"/>
          </rPr>
          <t xml:space="preserve">
Actualizata cf cont</t>
        </r>
      </text>
    </comment>
  </commentList>
</comments>
</file>

<file path=xl/sharedStrings.xml><?xml version="1.0" encoding="utf-8"?>
<sst xmlns="http://schemas.openxmlformats.org/spreadsheetml/2006/main" count="188" uniqueCount="68">
  <si>
    <t>Indicatori</t>
  </si>
  <si>
    <t>DATORIA PUBLICA</t>
  </si>
  <si>
    <t>Datoria publica guvernamentala</t>
  </si>
  <si>
    <t>%PIB</t>
  </si>
  <si>
    <t xml:space="preserve">           1.Dupa tip:</t>
  </si>
  <si>
    <t xml:space="preserve">               - directa</t>
  </si>
  <si>
    <t xml:space="preserve">               - garantata</t>
  </si>
  <si>
    <t xml:space="preserve">          2. Dupa creditori:</t>
  </si>
  <si>
    <t xml:space="preserve">               - multilaterala</t>
  </si>
  <si>
    <t xml:space="preserve">               - bilaterala</t>
  </si>
  <si>
    <t xml:space="preserve">               - banci private si altii</t>
  </si>
  <si>
    <t xml:space="preserve">        3. Dupa instrument:</t>
  </si>
  <si>
    <t xml:space="preserve">             - Certificate de trezorerie (Lei si Eur)</t>
  </si>
  <si>
    <t xml:space="preserve">             - Instrumente de cash management</t>
  </si>
  <si>
    <t xml:space="preserve">             - Obligatiuni (Lei si Eur)</t>
  </si>
  <si>
    <t xml:space="preserve">             - Eurobligatiuni</t>
  </si>
  <si>
    <t xml:space="preserve">             - Leasing financiar</t>
  </si>
  <si>
    <t xml:space="preserve">             - Imprumuturi</t>
  </si>
  <si>
    <t xml:space="preserve">             - Imprumuturi din disponibilitatile CGTS</t>
  </si>
  <si>
    <t xml:space="preserve">        4. Dupa valuta: </t>
  </si>
  <si>
    <t xml:space="preserve">               - RON</t>
  </si>
  <si>
    <t xml:space="preserve">               - USD</t>
  </si>
  <si>
    <t xml:space="preserve">               - DEM</t>
  </si>
  <si>
    <t xml:space="preserve">               - EURO</t>
  </si>
  <si>
    <t xml:space="preserve">               - SDR</t>
  </si>
  <si>
    <t xml:space="preserve">               - CHF</t>
  </si>
  <si>
    <t xml:space="preserve">               - FRF</t>
  </si>
  <si>
    <t xml:space="preserve">               - CAD</t>
  </si>
  <si>
    <t xml:space="preserve">               - ITL</t>
  </si>
  <si>
    <t xml:space="preserve">               - JPY</t>
  </si>
  <si>
    <t xml:space="preserve">               - NLG</t>
  </si>
  <si>
    <t xml:space="preserve">               - DKK</t>
  </si>
  <si>
    <t xml:space="preserve">               - WON</t>
  </si>
  <si>
    <t xml:space="preserve">               - ATS</t>
  </si>
  <si>
    <t xml:space="preserve">               - GBP</t>
  </si>
  <si>
    <t xml:space="preserve">               - RUBLE</t>
  </si>
  <si>
    <t xml:space="preserve">           5. Dupa scadente:</t>
  </si>
  <si>
    <t xml:space="preserve">             - termen scurt</t>
  </si>
  <si>
    <t xml:space="preserve">             - mediu</t>
  </si>
  <si>
    <t xml:space="preserve">             - lung</t>
  </si>
  <si>
    <t xml:space="preserve">          6.  Dupa rata dobanzii:</t>
  </si>
  <si>
    <t xml:space="preserve">             - fixa</t>
  </si>
  <si>
    <t xml:space="preserve">             - variabila</t>
  </si>
  <si>
    <t>Datoria locala:</t>
  </si>
  <si>
    <t>din care:</t>
  </si>
  <si>
    <t xml:space="preserve">           1.dupa tip:</t>
  </si>
  <si>
    <t xml:space="preserve">         2. dupa valuta: </t>
  </si>
  <si>
    <t xml:space="preserve">               - Lei</t>
  </si>
  <si>
    <t xml:space="preserve">         3. dupa scadente:</t>
  </si>
  <si>
    <t xml:space="preserve">                - intre  1 - 5 ani</t>
  </si>
  <si>
    <t xml:space="preserve">                - peste 5 ani</t>
  </si>
  <si>
    <t>Curs Eur / Ron</t>
  </si>
  <si>
    <t>PIB mil. RON</t>
  </si>
  <si>
    <t>*) conform OUG 64/2007privind datoria publica,include garantiile emise  de autoritatile centrale si locale.</t>
  </si>
  <si>
    <t>mil lei</t>
  </si>
  <si>
    <t xml:space="preserve">  PIB conform CNP aprilie 2016</t>
  </si>
  <si>
    <t>% PIB</t>
  </si>
  <si>
    <t xml:space="preserve">  PIB 2016 si 2017 conform comunicat CNP, prognoza de iarna, februarie 2018</t>
  </si>
  <si>
    <t xml:space="preserve">        Dupa categorii instrumente:</t>
  </si>
  <si>
    <t>DATORIA PUBLICĂ</t>
  </si>
  <si>
    <t>Datoria publică guvernamentală</t>
  </si>
  <si>
    <t>Datoria locală</t>
  </si>
  <si>
    <t>% datorie guvernamentală</t>
  </si>
  <si>
    <t xml:space="preserve">   - Imprumuturi din disponibilitatile CGTS, din care:</t>
  </si>
  <si>
    <t>Valoarea titlurilor de stat emise pe piata interna in an, din care:</t>
  </si>
  <si>
    <t>certificate de trezorerie</t>
  </si>
  <si>
    <t>obligatiuni de stat</t>
  </si>
  <si>
    <t xml:space="preserve">  PIB conform comunicatului CNSP din iulie 2018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</si>
</sst>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d\-mmm\-yy;@"/>
    <numFmt numFmtId="174" formatCode="d\ mmm\ yyyy"/>
    <numFmt numFmtId="175" formatCode="0.0%"/>
    <numFmt numFmtId="176" formatCode="0.0000"/>
    <numFmt numFmtId="177" formatCode="#,##0.0000"/>
    <numFmt numFmtId="178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 vertical="center"/>
    </xf>
    <xf numFmtId="173" fontId="4" fillId="33" borderId="12" xfId="0" applyNumberFormat="1" applyFont="1" applyFill="1" applyBorder="1" applyAlignment="1">
      <alignment horizontal="center" vertical="center"/>
    </xf>
    <xf numFmtId="173" fontId="4" fillId="33" borderId="13" xfId="0" applyNumberFormat="1" applyFont="1" applyFill="1" applyBorder="1" applyAlignment="1">
      <alignment horizontal="center" vertical="center"/>
    </xf>
    <xf numFmtId="173" fontId="4" fillId="33" borderId="14" xfId="0" applyNumberFormat="1" applyFont="1" applyFill="1" applyBorder="1" applyAlignment="1">
      <alignment horizontal="center" vertical="center"/>
    </xf>
    <xf numFmtId="1" fontId="4" fillId="33" borderId="13" xfId="0" applyNumberFormat="1" applyFont="1" applyFill="1" applyBorder="1" applyAlignment="1">
      <alignment horizontal="center" vertical="center"/>
    </xf>
    <xf numFmtId="173" fontId="4" fillId="33" borderId="15" xfId="0" applyNumberFormat="1" applyFont="1" applyFill="1" applyBorder="1" applyAlignment="1">
      <alignment horizontal="center" vertical="center"/>
    </xf>
    <xf numFmtId="173" fontId="4" fillId="33" borderId="16" xfId="0" applyNumberFormat="1" applyFont="1" applyFill="1" applyBorder="1" applyAlignment="1">
      <alignment horizontal="center" vertical="center"/>
    </xf>
    <xf numFmtId="173" fontId="4" fillId="33" borderId="17" xfId="0" applyNumberFormat="1" applyFont="1" applyFill="1" applyBorder="1" applyAlignment="1">
      <alignment horizontal="center" vertical="center"/>
    </xf>
    <xf numFmtId="174" fontId="4" fillId="33" borderId="17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 wrapText="1"/>
    </xf>
    <xf numFmtId="172" fontId="4" fillId="34" borderId="19" xfId="0" applyNumberFormat="1" applyFont="1" applyFill="1" applyBorder="1" applyAlignment="1">
      <alignment horizontal="center" vertical="center" wrapText="1"/>
    </xf>
    <xf numFmtId="172" fontId="4" fillId="34" borderId="16" xfId="0" applyNumberFormat="1" applyFont="1" applyFill="1" applyBorder="1" applyAlignment="1">
      <alignment horizontal="center" vertical="center" wrapText="1"/>
    </xf>
    <xf numFmtId="172" fontId="4" fillId="34" borderId="20" xfId="0" applyNumberFormat="1" applyFont="1" applyFill="1" applyBorder="1" applyAlignment="1">
      <alignment horizontal="center" vertical="center" wrapText="1"/>
    </xf>
    <xf numFmtId="172" fontId="4" fillId="34" borderId="21" xfId="0" applyNumberFormat="1" applyFont="1" applyFill="1" applyBorder="1" applyAlignment="1">
      <alignment horizontal="center" vertical="center" wrapText="1"/>
    </xf>
    <xf numFmtId="172" fontId="4" fillId="34" borderId="12" xfId="0" applyNumberFormat="1" applyFont="1" applyFill="1" applyBorder="1" applyAlignment="1">
      <alignment horizontal="center" vertical="center" wrapText="1"/>
    </xf>
    <xf numFmtId="172" fontId="4" fillId="34" borderId="14" xfId="0" applyNumberFormat="1" applyFont="1" applyFill="1" applyBorder="1" applyAlignment="1">
      <alignment horizontal="center" vertical="center" wrapText="1"/>
    </xf>
    <xf numFmtId="172" fontId="4" fillId="34" borderId="15" xfId="0" applyNumberFormat="1" applyFont="1" applyFill="1" applyBorder="1" applyAlignment="1">
      <alignment horizontal="center" vertical="center" wrapText="1"/>
    </xf>
    <xf numFmtId="172" fontId="4" fillId="34" borderId="2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left" vertical="center" wrapText="1"/>
    </xf>
    <xf numFmtId="172" fontId="4" fillId="0" borderId="24" xfId="0" applyNumberFormat="1" applyFont="1" applyBorder="1" applyAlignment="1">
      <alignment/>
    </xf>
    <xf numFmtId="172" fontId="4" fillId="0" borderId="25" xfId="0" applyNumberFormat="1" applyFont="1" applyBorder="1" applyAlignment="1">
      <alignment/>
    </xf>
    <xf numFmtId="172" fontId="4" fillId="0" borderId="26" xfId="0" applyNumberFormat="1" applyFont="1" applyBorder="1" applyAlignment="1">
      <alignment/>
    </xf>
    <xf numFmtId="172" fontId="4" fillId="0" borderId="27" xfId="0" applyNumberFormat="1" applyFont="1" applyBorder="1" applyAlignment="1">
      <alignment/>
    </xf>
    <xf numFmtId="172" fontId="4" fillId="0" borderId="28" xfId="0" applyNumberFormat="1" applyFont="1" applyBorder="1" applyAlignment="1">
      <alignment/>
    </xf>
    <xf numFmtId="172" fontId="4" fillId="0" borderId="29" xfId="0" applyNumberFormat="1" applyFont="1" applyBorder="1" applyAlignment="1">
      <alignment/>
    </xf>
    <xf numFmtId="172" fontId="4" fillId="0" borderId="30" xfId="0" applyNumberFormat="1" applyFont="1" applyBorder="1" applyAlignment="1">
      <alignment/>
    </xf>
    <xf numFmtId="172" fontId="4" fillId="0" borderId="31" xfId="0" applyNumberFormat="1" applyFont="1" applyBorder="1" applyAlignment="1">
      <alignment/>
    </xf>
    <xf numFmtId="0" fontId="2" fillId="0" borderId="32" xfId="0" applyNumberFormat="1" applyFont="1" applyBorder="1" applyAlignment="1">
      <alignment horizontal="center"/>
    </xf>
    <xf numFmtId="175" fontId="4" fillId="0" borderId="33" xfId="0" applyNumberFormat="1" applyFont="1" applyBorder="1" applyAlignment="1">
      <alignment/>
    </xf>
    <xf numFmtId="175" fontId="4" fillId="0" borderId="34" xfId="0" applyNumberFormat="1" applyFont="1" applyBorder="1" applyAlignment="1">
      <alignment/>
    </xf>
    <xf numFmtId="175" fontId="2" fillId="0" borderId="33" xfId="0" applyNumberFormat="1" applyFont="1" applyBorder="1" applyAlignment="1">
      <alignment/>
    </xf>
    <xf numFmtId="175" fontId="2" fillId="0" borderId="35" xfId="0" applyNumberFormat="1" applyFont="1" applyBorder="1" applyAlignment="1">
      <alignment/>
    </xf>
    <xf numFmtId="175" fontId="2" fillId="0" borderId="0" xfId="0" applyNumberFormat="1" applyFont="1" applyBorder="1" applyAlignment="1">
      <alignment/>
    </xf>
    <xf numFmtId="175" fontId="2" fillId="0" borderId="36" xfId="0" applyNumberFormat="1" applyFont="1" applyBorder="1" applyAlignment="1">
      <alignment/>
    </xf>
    <xf numFmtId="175" fontId="2" fillId="0" borderId="37" xfId="0" applyNumberFormat="1" applyFont="1" applyBorder="1" applyAlignment="1">
      <alignment/>
    </xf>
    <xf numFmtId="175" fontId="4" fillId="0" borderId="38" xfId="0" applyNumberFormat="1" applyFont="1" applyBorder="1" applyAlignment="1">
      <alignment/>
    </xf>
    <xf numFmtId="175" fontId="4" fillId="0" borderId="39" xfId="0" applyNumberFormat="1" applyFont="1" applyBorder="1" applyAlignment="1">
      <alignment/>
    </xf>
    <xf numFmtId="0" fontId="5" fillId="35" borderId="40" xfId="0" applyNumberFormat="1" applyFont="1" applyFill="1" applyBorder="1" applyAlignment="1">
      <alignment/>
    </xf>
    <xf numFmtId="172" fontId="4" fillId="0" borderId="41" xfId="0" applyNumberFormat="1" applyFont="1" applyBorder="1" applyAlignment="1">
      <alignment vertical="top" wrapText="1"/>
    </xf>
    <xf numFmtId="172" fontId="4" fillId="0" borderId="38" xfId="0" applyNumberFormat="1" applyFont="1" applyBorder="1" applyAlignment="1">
      <alignment vertical="top" wrapText="1"/>
    </xf>
    <xf numFmtId="172" fontId="4" fillId="0" borderId="36" xfId="0" applyNumberFormat="1" applyFont="1" applyBorder="1" applyAlignment="1">
      <alignment vertical="top" wrapText="1"/>
    </xf>
    <xf numFmtId="172" fontId="4" fillId="0" borderId="42" xfId="0" applyNumberFormat="1" applyFont="1" applyBorder="1" applyAlignment="1">
      <alignment vertical="top" wrapText="1"/>
    </xf>
    <xf numFmtId="172" fontId="4" fillId="0" borderId="37" xfId="0" applyNumberFormat="1" applyFont="1" applyBorder="1" applyAlignment="1">
      <alignment vertical="top" wrapText="1"/>
    </xf>
    <xf numFmtId="172" fontId="4" fillId="0" borderId="39" xfId="0" applyNumberFormat="1" applyFont="1" applyBorder="1" applyAlignment="1">
      <alignment vertical="top" wrapText="1"/>
    </xf>
    <xf numFmtId="0" fontId="2" fillId="0" borderId="32" xfId="0" applyNumberFormat="1" applyFont="1" applyBorder="1" applyAlignment="1">
      <alignment horizontal="left" vertical="center" wrapText="1"/>
    </xf>
    <xf numFmtId="172" fontId="2" fillId="0" borderId="43" xfId="0" applyNumberFormat="1" applyFont="1" applyFill="1" applyBorder="1" applyAlignment="1">
      <alignment vertical="top" wrapText="1"/>
    </xf>
    <xf numFmtId="172" fontId="2" fillId="0" borderId="34" xfId="0" applyNumberFormat="1" applyFont="1" applyFill="1" applyBorder="1" applyAlignment="1">
      <alignment/>
    </xf>
    <xf numFmtId="172" fontId="2" fillId="0" borderId="43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172" fontId="2" fillId="0" borderId="33" xfId="0" applyNumberFormat="1" applyFont="1" applyFill="1" applyBorder="1" applyAlignment="1">
      <alignment/>
    </xf>
    <xf numFmtId="172" fontId="2" fillId="0" borderId="34" xfId="0" applyNumberFormat="1" applyFont="1" applyFill="1" applyBorder="1" applyAlignment="1">
      <alignment/>
    </xf>
    <xf numFmtId="172" fontId="2" fillId="0" borderId="33" xfId="0" applyNumberFormat="1" applyFont="1" applyBorder="1" applyAlignment="1">
      <alignment/>
    </xf>
    <xf numFmtId="172" fontId="2" fillId="0" borderId="34" xfId="0" applyNumberFormat="1" applyFont="1" applyBorder="1" applyAlignment="1">
      <alignment/>
    </xf>
    <xf numFmtId="172" fontId="0" fillId="0" borderId="34" xfId="0" applyNumberFormat="1" applyFont="1" applyBorder="1" applyAlignment="1">
      <alignment/>
    </xf>
    <xf numFmtId="172" fontId="2" fillId="0" borderId="0" xfId="0" applyNumberFormat="1" applyFont="1" applyBorder="1" applyAlignment="1">
      <alignment horizontal="right"/>
    </xf>
    <xf numFmtId="172" fontId="0" fillId="0" borderId="33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172" fontId="2" fillId="0" borderId="44" xfId="0" applyNumberFormat="1" applyFont="1" applyBorder="1" applyAlignment="1">
      <alignment/>
    </xf>
    <xf numFmtId="172" fontId="2" fillId="0" borderId="45" xfId="0" applyNumberFormat="1" applyFont="1" applyBorder="1" applyAlignment="1">
      <alignment/>
    </xf>
    <xf numFmtId="172" fontId="2" fillId="0" borderId="46" xfId="0" applyNumberFormat="1" applyFont="1" applyBorder="1" applyAlignment="1">
      <alignment/>
    </xf>
    <xf numFmtId="172" fontId="2" fillId="0" borderId="35" xfId="0" applyNumberFormat="1" applyFont="1" applyBorder="1" applyAlignment="1">
      <alignment/>
    </xf>
    <xf numFmtId="172" fontId="2" fillId="0" borderId="47" xfId="0" applyNumberFormat="1" applyFont="1" applyBorder="1" applyAlignment="1">
      <alignment/>
    </xf>
    <xf numFmtId="172" fontId="2" fillId="0" borderId="48" xfId="0" applyNumberFormat="1" applyFont="1" applyBorder="1" applyAlignment="1">
      <alignment/>
    </xf>
    <xf numFmtId="172" fontId="4" fillId="0" borderId="41" xfId="0" applyNumberFormat="1" applyFont="1" applyFill="1" applyBorder="1" applyAlignment="1">
      <alignment vertical="top" wrapText="1"/>
    </xf>
    <xf numFmtId="172" fontId="4" fillId="0" borderId="38" xfId="0" applyNumberFormat="1" applyFont="1" applyFill="1" applyBorder="1" applyAlignment="1">
      <alignment vertical="top" wrapText="1"/>
    </xf>
    <xf numFmtId="172" fontId="4" fillId="0" borderId="36" xfId="0" applyNumberFormat="1" applyFont="1" applyFill="1" applyBorder="1" applyAlignment="1">
      <alignment vertical="top" wrapText="1"/>
    </xf>
    <xf numFmtId="172" fontId="4" fillId="0" borderId="42" xfId="0" applyNumberFormat="1" applyFont="1" applyFill="1" applyBorder="1" applyAlignment="1">
      <alignment vertical="top" wrapText="1"/>
    </xf>
    <xf numFmtId="172" fontId="4" fillId="0" borderId="37" xfId="0" applyNumberFormat="1" applyFont="1" applyFill="1" applyBorder="1" applyAlignment="1">
      <alignment vertical="top" wrapText="1"/>
    </xf>
    <xf numFmtId="172" fontId="4" fillId="0" borderId="39" xfId="0" applyNumberFormat="1" applyFont="1" applyFill="1" applyBorder="1" applyAlignment="1">
      <alignment vertical="top" wrapText="1"/>
    </xf>
    <xf numFmtId="172" fontId="2" fillId="0" borderId="43" xfId="0" applyNumberFormat="1" applyFont="1" applyFill="1" applyBorder="1" applyAlignment="1">
      <alignment wrapText="1"/>
    </xf>
    <xf numFmtId="172" fontId="2" fillId="0" borderId="34" xfId="0" applyNumberFormat="1" applyFont="1" applyFill="1" applyBorder="1" applyAlignment="1">
      <alignment wrapText="1"/>
    </xf>
    <xf numFmtId="172" fontId="2" fillId="0" borderId="49" xfId="0" applyNumberFormat="1" applyFont="1" applyBorder="1" applyAlignment="1">
      <alignment/>
    </xf>
    <xf numFmtId="172" fontId="2" fillId="0" borderId="26" xfId="0" applyNumberFormat="1" applyFont="1" applyBorder="1" applyAlignment="1">
      <alignment/>
    </xf>
    <xf numFmtId="172" fontId="2" fillId="0" borderId="25" xfId="0" applyNumberFormat="1" applyFont="1" applyBorder="1" applyAlignment="1">
      <alignment/>
    </xf>
    <xf numFmtId="172" fontId="2" fillId="0" borderId="50" xfId="0" applyNumberFormat="1" applyFont="1" applyBorder="1" applyAlignment="1">
      <alignment/>
    </xf>
    <xf numFmtId="0" fontId="5" fillId="0" borderId="40" xfId="0" applyNumberFormat="1" applyFont="1" applyBorder="1" applyAlignment="1">
      <alignment horizontal="left" vertical="top" wrapText="1"/>
    </xf>
    <xf numFmtId="172" fontId="4" fillId="0" borderId="36" xfId="0" applyNumberFormat="1" applyFont="1" applyFill="1" applyBorder="1" applyAlignment="1">
      <alignment wrapText="1"/>
    </xf>
    <xf numFmtId="172" fontId="4" fillId="0" borderId="38" xfId="0" applyNumberFormat="1" applyFont="1" applyFill="1" applyBorder="1" applyAlignment="1">
      <alignment wrapText="1"/>
    </xf>
    <xf numFmtId="172" fontId="4" fillId="0" borderId="42" xfId="0" applyNumberFormat="1" applyFont="1" applyFill="1" applyBorder="1" applyAlignment="1">
      <alignment wrapText="1"/>
    </xf>
    <xf numFmtId="172" fontId="4" fillId="0" borderId="37" xfId="0" applyNumberFormat="1" applyFont="1" applyFill="1" applyBorder="1" applyAlignment="1">
      <alignment wrapText="1"/>
    </xf>
    <xf numFmtId="172" fontId="4" fillId="0" borderId="39" xfId="0" applyNumberFormat="1" applyFont="1" applyFill="1" applyBorder="1" applyAlignment="1">
      <alignment wrapText="1"/>
    </xf>
    <xf numFmtId="0" fontId="2" fillId="35" borderId="32" xfId="0" applyNumberFormat="1" applyFont="1" applyFill="1" applyBorder="1" applyAlignment="1">
      <alignment horizontal="left" vertical="center"/>
    </xf>
    <xf numFmtId="0" fontId="2" fillId="0" borderId="32" xfId="0" applyNumberFormat="1" applyFont="1" applyBorder="1" applyAlignment="1">
      <alignment horizontal="left" vertical="top" wrapText="1"/>
    </xf>
    <xf numFmtId="0" fontId="3" fillId="35" borderId="32" xfId="0" applyNumberFormat="1" applyFont="1" applyFill="1" applyBorder="1" applyAlignment="1">
      <alignment horizontal="left" vertical="center"/>
    </xf>
    <xf numFmtId="172" fontId="3" fillId="0" borderId="43" xfId="0" applyNumberFormat="1" applyFont="1" applyFill="1" applyBorder="1" applyAlignment="1">
      <alignment wrapText="1"/>
    </xf>
    <xf numFmtId="172" fontId="3" fillId="0" borderId="34" xfId="0" applyNumberFormat="1" applyFont="1" applyFill="1" applyBorder="1" applyAlignment="1">
      <alignment/>
    </xf>
    <xf numFmtId="172" fontId="3" fillId="0" borderId="43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172" fontId="3" fillId="0" borderId="33" xfId="0" applyNumberFormat="1" applyFont="1" applyFill="1" applyBorder="1" applyAlignment="1">
      <alignment/>
    </xf>
    <xf numFmtId="172" fontId="3" fillId="0" borderId="34" xfId="0" applyNumberFormat="1" applyFont="1" applyFill="1" applyBorder="1" applyAlignment="1">
      <alignment/>
    </xf>
    <xf numFmtId="172" fontId="4" fillId="0" borderId="41" xfId="0" applyNumberFormat="1" applyFont="1" applyFill="1" applyBorder="1" applyAlignment="1">
      <alignment/>
    </xf>
    <xf numFmtId="172" fontId="4" fillId="0" borderId="38" xfId="0" applyNumberFormat="1" applyFont="1" applyFill="1" applyBorder="1" applyAlignment="1">
      <alignment/>
    </xf>
    <xf numFmtId="172" fontId="4" fillId="0" borderId="36" xfId="0" applyNumberFormat="1" applyFont="1" applyFill="1" applyBorder="1" applyAlignment="1">
      <alignment/>
    </xf>
    <xf numFmtId="172" fontId="4" fillId="0" borderId="42" xfId="0" applyNumberFormat="1" applyFont="1" applyFill="1" applyBorder="1" applyAlignment="1">
      <alignment/>
    </xf>
    <xf numFmtId="172" fontId="4" fillId="0" borderId="37" xfId="0" applyNumberFormat="1" applyFont="1" applyFill="1" applyBorder="1" applyAlignment="1">
      <alignment/>
    </xf>
    <xf numFmtId="172" fontId="4" fillId="0" borderId="39" xfId="0" applyNumberFormat="1" applyFont="1" applyFill="1" applyBorder="1" applyAlignment="1">
      <alignment/>
    </xf>
    <xf numFmtId="172" fontId="0" fillId="0" borderId="33" xfId="0" applyNumberFormat="1" applyFont="1" applyBorder="1" applyAlignment="1">
      <alignment horizontal="right"/>
    </xf>
    <xf numFmtId="172" fontId="2" fillId="0" borderId="51" xfId="0" applyNumberFormat="1" applyFont="1" applyBorder="1" applyAlignment="1">
      <alignment/>
    </xf>
    <xf numFmtId="172" fontId="0" fillId="0" borderId="34" xfId="0" applyNumberFormat="1" applyFont="1" applyFill="1" applyBorder="1" applyAlignment="1">
      <alignment/>
    </xf>
    <xf numFmtId="0" fontId="2" fillId="35" borderId="32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left" vertical="center" wrapText="1"/>
    </xf>
    <xf numFmtId="172" fontId="4" fillId="0" borderId="11" xfId="0" applyNumberFormat="1" applyFont="1" applyFill="1" applyBorder="1" applyAlignment="1">
      <alignment/>
    </xf>
    <xf numFmtId="172" fontId="4" fillId="0" borderId="12" xfId="0" applyNumberFormat="1" applyFont="1" applyFill="1" applyBorder="1" applyAlignment="1">
      <alignment/>
    </xf>
    <xf numFmtId="172" fontId="4" fillId="0" borderId="13" xfId="0" applyNumberFormat="1" applyFont="1" applyFill="1" applyBorder="1" applyAlignment="1">
      <alignment/>
    </xf>
    <xf numFmtId="172" fontId="4" fillId="35" borderId="52" xfId="0" applyNumberFormat="1" applyFont="1" applyFill="1" applyBorder="1" applyAlignment="1">
      <alignment/>
    </xf>
    <xf numFmtId="172" fontId="4" fillId="35" borderId="13" xfId="0" applyNumberFormat="1" applyFont="1" applyFill="1" applyBorder="1" applyAlignment="1">
      <alignment/>
    </xf>
    <xf numFmtId="172" fontId="4" fillId="35" borderId="12" xfId="0" applyNumberFormat="1" applyFont="1" applyFill="1" applyBorder="1" applyAlignment="1">
      <alignment/>
    </xf>
    <xf numFmtId="172" fontId="4" fillId="35" borderId="14" xfId="0" applyNumberFormat="1" applyFont="1" applyFill="1" applyBorder="1" applyAlignment="1">
      <alignment/>
    </xf>
    <xf numFmtId="172" fontId="4" fillId="35" borderId="15" xfId="0" applyNumberFormat="1" applyFont="1" applyFill="1" applyBorder="1" applyAlignment="1">
      <alignment/>
    </xf>
    <xf numFmtId="172" fontId="4" fillId="35" borderId="17" xfId="0" applyNumberFormat="1" applyFont="1" applyFill="1" applyBorder="1" applyAlignment="1">
      <alignment/>
    </xf>
    <xf numFmtId="0" fontId="2" fillId="0" borderId="32" xfId="0" applyNumberFormat="1" applyFont="1" applyBorder="1" applyAlignment="1">
      <alignment/>
    </xf>
    <xf numFmtId="172" fontId="2" fillId="0" borderId="53" xfId="0" applyNumberFormat="1" applyFont="1" applyFill="1" applyBorder="1" applyAlignment="1">
      <alignment/>
    </xf>
    <xf numFmtId="0" fontId="2" fillId="0" borderId="33" xfId="0" applyNumberFormat="1" applyFont="1" applyBorder="1" applyAlignment="1">
      <alignment/>
    </xf>
    <xf numFmtId="0" fontId="2" fillId="0" borderId="34" xfId="0" applyNumberFormat="1" applyFont="1" applyBorder="1" applyAlignment="1">
      <alignment/>
    </xf>
    <xf numFmtId="0" fontId="0" fillId="0" borderId="33" xfId="0" applyNumberFormat="1" applyFont="1" applyBorder="1" applyAlignment="1">
      <alignment/>
    </xf>
    <xf numFmtId="172" fontId="2" fillId="0" borderId="0" xfId="0" applyNumberFormat="1" applyFont="1" applyFill="1" applyBorder="1" applyAlignment="1">
      <alignment vertical="top" wrapText="1"/>
    </xf>
    <xf numFmtId="172" fontId="2" fillId="0" borderId="0" xfId="0" applyNumberFormat="1" applyFont="1" applyFill="1" applyBorder="1" applyAlignment="1">
      <alignment/>
    </xf>
    <xf numFmtId="172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left" vertical="top" wrapText="1"/>
    </xf>
    <xf numFmtId="172" fontId="2" fillId="0" borderId="21" xfId="0" applyNumberFormat="1" applyFont="1" applyFill="1" applyBorder="1" applyAlignment="1">
      <alignment vertical="top" wrapText="1"/>
    </xf>
    <xf numFmtId="172" fontId="2" fillId="0" borderId="21" xfId="0" applyNumberFormat="1" applyFont="1" applyFill="1" applyBorder="1" applyAlignment="1">
      <alignment/>
    </xf>
    <xf numFmtId="172" fontId="2" fillId="0" borderId="21" xfId="0" applyNumberFormat="1" applyFont="1" applyFill="1" applyBorder="1" applyAlignment="1">
      <alignment/>
    </xf>
    <xf numFmtId="172" fontId="2" fillId="0" borderId="16" xfId="0" applyNumberFormat="1" applyFont="1" applyFill="1" applyBorder="1" applyAlignment="1">
      <alignment/>
    </xf>
    <xf numFmtId="172" fontId="2" fillId="0" borderId="20" xfId="0" applyNumberFormat="1" applyFont="1" applyBorder="1" applyAlignment="1">
      <alignment/>
    </xf>
    <xf numFmtId="172" fontId="2" fillId="0" borderId="21" xfId="0" applyNumberFormat="1" applyFont="1" applyBorder="1" applyAlignment="1">
      <alignment/>
    </xf>
    <xf numFmtId="172" fontId="0" fillId="0" borderId="21" xfId="0" applyNumberFormat="1" applyFont="1" applyBorder="1" applyAlignment="1">
      <alignment/>
    </xf>
    <xf numFmtId="172" fontId="2" fillId="0" borderId="21" xfId="0" applyNumberFormat="1" applyFont="1" applyBorder="1" applyAlignment="1">
      <alignment horizontal="right"/>
    </xf>
    <xf numFmtId="172" fontId="0" fillId="0" borderId="21" xfId="0" applyNumberFormat="1" applyFont="1" applyBorder="1" applyAlignment="1">
      <alignment horizontal="right"/>
    </xf>
    <xf numFmtId="172" fontId="0" fillId="0" borderId="16" xfId="0" applyNumberFormat="1" applyFont="1" applyBorder="1" applyAlignment="1">
      <alignment/>
    </xf>
    <xf numFmtId="172" fontId="2" fillId="0" borderId="16" xfId="0" applyNumberFormat="1" applyFont="1" applyBorder="1" applyAlignment="1">
      <alignment/>
    </xf>
    <xf numFmtId="172" fontId="2" fillId="0" borderId="54" xfId="0" applyNumberFormat="1" applyFont="1" applyBorder="1" applyAlignment="1">
      <alignment/>
    </xf>
    <xf numFmtId="172" fontId="2" fillId="0" borderId="22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 wrapText="1"/>
    </xf>
    <xf numFmtId="3" fontId="2" fillId="35" borderId="0" xfId="0" applyNumberFormat="1" applyFont="1" applyFill="1" applyAlignment="1">
      <alignment horizontal="right" vertical="center" wrapText="1"/>
    </xf>
    <xf numFmtId="0" fontId="5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 horizontal="right"/>
    </xf>
    <xf numFmtId="0" fontId="49" fillId="0" borderId="0" xfId="0" applyNumberFormat="1" applyFont="1" applyAlignment="1">
      <alignment/>
    </xf>
    <xf numFmtId="175" fontId="49" fillId="0" borderId="0" xfId="0" applyNumberFormat="1" applyFont="1" applyAlignment="1">
      <alignment/>
    </xf>
    <xf numFmtId="172" fontId="49" fillId="0" borderId="48" xfId="0" applyNumberFormat="1" applyFont="1" applyBorder="1" applyAlignment="1">
      <alignment/>
    </xf>
    <xf numFmtId="0" fontId="4" fillId="34" borderId="32" xfId="0" applyNumberFormat="1" applyFont="1" applyFill="1" applyBorder="1" applyAlignment="1">
      <alignment horizontal="center" vertical="center" wrapText="1"/>
    </xf>
    <xf numFmtId="172" fontId="4" fillId="34" borderId="34" xfId="0" applyNumberFormat="1" applyFont="1" applyFill="1" applyBorder="1" applyAlignment="1">
      <alignment horizontal="center" vertical="center" wrapText="1"/>
    </xf>
    <xf numFmtId="172" fontId="4" fillId="34" borderId="48" xfId="0" applyNumberFormat="1" applyFont="1" applyFill="1" applyBorder="1" applyAlignment="1">
      <alignment horizontal="center" vertical="center" wrapText="1"/>
    </xf>
    <xf numFmtId="172" fontId="4" fillId="34" borderId="53" xfId="0" applyNumberFormat="1" applyFont="1" applyFill="1" applyBorder="1" applyAlignment="1">
      <alignment horizontal="center" vertical="center" wrapText="1"/>
    </xf>
    <xf numFmtId="175" fontId="4" fillId="34" borderId="43" xfId="0" applyNumberFormat="1" applyFont="1" applyFill="1" applyBorder="1" applyAlignment="1">
      <alignment horizontal="center" vertical="center" wrapText="1"/>
    </xf>
    <xf numFmtId="175" fontId="2" fillId="36" borderId="0" xfId="0" applyNumberFormat="1" applyFont="1" applyFill="1" applyAlignment="1">
      <alignment/>
    </xf>
    <xf numFmtId="175" fontId="4" fillId="37" borderId="43" xfId="0" applyNumberFormat="1" applyFont="1" applyFill="1" applyBorder="1" applyAlignment="1">
      <alignment horizontal="center" vertical="center" wrapText="1"/>
    </xf>
    <xf numFmtId="0" fontId="2" fillId="36" borderId="0" xfId="0" applyNumberFormat="1" applyFont="1" applyFill="1" applyAlignment="1">
      <alignment/>
    </xf>
    <xf numFmtId="172" fontId="4" fillId="37" borderId="22" xfId="0" applyNumberFormat="1" applyFont="1" applyFill="1" applyBorder="1" applyAlignment="1">
      <alignment horizontal="center" vertical="center" wrapText="1"/>
    </xf>
    <xf numFmtId="172" fontId="2" fillId="36" borderId="0" xfId="0" applyNumberFormat="1" applyFont="1" applyFill="1" applyAlignment="1">
      <alignment/>
    </xf>
    <xf numFmtId="172" fontId="3" fillId="0" borderId="48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172" fontId="4" fillId="0" borderId="49" xfId="0" applyNumberFormat="1" applyFont="1" applyBorder="1" applyAlignment="1">
      <alignment/>
    </xf>
    <xf numFmtId="172" fontId="4" fillId="0" borderId="50" xfId="0" applyNumberFormat="1" applyFont="1" applyBorder="1" applyAlignment="1">
      <alignment/>
    </xf>
    <xf numFmtId="175" fontId="4" fillId="0" borderId="0" xfId="0" applyNumberFormat="1" applyFont="1" applyBorder="1" applyAlignment="1">
      <alignment/>
    </xf>
    <xf numFmtId="0" fontId="4" fillId="33" borderId="55" xfId="0" applyNumberFormat="1" applyFont="1" applyFill="1" applyBorder="1" applyAlignment="1">
      <alignment horizontal="center" vertical="center"/>
    </xf>
    <xf numFmtId="1" fontId="4" fillId="33" borderId="55" xfId="0" applyNumberFormat="1" applyFont="1" applyFill="1" applyBorder="1" applyAlignment="1">
      <alignment horizontal="center" vertical="center"/>
    </xf>
    <xf numFmtId="173" fontId="4" fillId="33" borderId="55" xfId="0" applyNumberFormat="1" applyFont="1" applyFill="1" applyBorder="1" applyAlignment="1">
      <alignment horizontal="center" vertical="center"/>
    </xf>
    <xf numFmtId="174" fontId="4" fillId="33" borderId="55" xfId="0" applyNumberFormat="1" applyFont="1" applyFill="1" applyBorder="1" applyAlignment="1">
      <alignment horizontal="center" vertical="center"/>
    </xf>
    <xf numFmtId="174" fontId="4" fillId="33" borderId="56" xfId="0" applyNumberFormat="1" applyFont="1" applyFill="1" applyBorder="1" applyAlignment="1">
      <alignment horizontal="center" vertical="center"/>
    </xf>
    <xf numFmtId="172" fontId="4" fillId="34" borderId="55" xfId="0" applyNumberFormat="1" applyFont="1" applyFill="1" applyBorder="1" applyAlignment="1">
      <alignment horizontal="center" vertical="center" wrapText="1"/>
    </xf>
    <xf numFmtId="175" fontId="4" fillId="34" borderId="55" xfId="0" applyNumberFormat="1" applyFont="1" applyFill="1" applyBorder="1" applyAlignment="1">
      <alignment horizontal="center" vertical="center" wrapText="1"/>
    </xf>
    <xf numFmtId="175" fontId="4" fillId="34" borderId="56" xfId="0" applyNumberFormat="1" applyFont="1" applyFill="1" applyBorder="1" applyAlignment="1">
      <alignment horizontal="center" vertical="center" wrapText="1"/>
    </xf>
    <xf numFmtId="0" fontId="4" fillId="33" borderId="57" xfId="0" applyNumberFormat="1" applyFont="1" applyFill="1" applyBorder="1" applyAlignment="1">
      <alignment horizontal="center" vertical="center" wrapText="1"/>
    </xf>
    <xf numFmtId="172" fontId="4" fillId="34" borderId="57" xfId="0" applyNumberFormat="1" applyFont="1" applyFill="1" applyBorder="1" applyAlignment="1">
      <alignment horizontal="center" vertical="center" wrapText="1"/>
    </xf>
    <xf numFmtId="175" fontId="4" fillId="34" borderId="57" xfId="0" applyNumberFormat="1" applyFont="1" applyFill="1" applyBorder="1" applyAlignment="1">
      <alignment horizontal="center" vertical="center" wrapText="1"/>
    </xf>
    <xf numFmtId="0" fontId="4" fillId="33" borderId="58" xfId="0" applyNumberFormat="1" applyFont="1" applyFill="1" applyBorder="1" applyAlignment="1">
      <alignment horizontal="center" vertical="center" wrapText="1"/>
    </xf>
    <xf numFmtId="0" fontId="4" fillId="34" borderId="58" xfId="0" applyNumberFormat="1" applyFont="1" applyFill="1" applyBorder="1" applyAlignment="1">
      <alignment horizontal="center" vertical="center" wrapText="1"/>
    </xf>
    <xf numFmtId="0" fontId="4" fillId="0" borderId="59" xfId="0" applyNumberFormat="1" applyFont="1" applyBorder="1" applyAlignment="1">
      <alignment horizontal="left" vertical="center" wrapText="1"/>
    </xf>
    <xf numFmtId="0" fontId="2" fillId="0" borderId="60" xfId="0" applyNumberFormat="1" applyFont="1" applyBorder="1" applyAlignment="1">
      <alignment horizontal="center"/>
    </xf>
    <xf numFmtId="0" fontId="5" fillId="35" borderId="61" xfId="0" applyNumberFormat="1" applyFont="1" applyFill="1" applyBorder="1" applyAlignment="1">
      <alignment/>
    </xf>
    <xf numFmtId="0" fontId="2" fillId="0" borderId="60" xfId="0" applyNumberFormat="1" applyFont="1" applyBorder="1" applyAlignment="1">
      <alignment horizontal="left" vertical="center" wrapText="1"/>
    </xf>
    <xf numFmtId="0" fontId="5" fillId="0" borderId="61" xfId="0" applyNumberFormat="1" applyFont="1" applyBorder="1" applyAlignment="1">
      <alignment horizontal="left" vertical="top" wrapText="1"/>
    </xf>
    <xf numFmtId="0" fontId="2" fillId="35" borderId="60" xfId="0" applyNumberFormat="1" applyFont="1" applyFill="1" applyBorder="1" applyAlignment="1">
      <alignment horizontal="left" vertical="center"/>
    </xf>
    <xf numFmtId="0" fontId="2" fillId="0" borderId="60" xfId="0" applyNumberFormat="1" applyFont="1" applyBorder="1" applyAlignment="1">
      <alignment horizontal="left" vertical="top" wrapText="1"/>
    </xf>
    <xf numFmtId="0" fontId="3" fillId="35" borderId="60" xfId="0" applyNumberFormat="1" applyFont="1" applyFill="1" applyBorder="1" applyAlignment="1">
      <alignment horizontal="left" vertical="center"/>
    </xf>
    <xf numFmtId="0" fontId="2" fillId="35" borderId="60" xfId="0" applyNumberFormat="1" applyFont="1" applyFill="1" applyBorder="1" applyAlignment="1">
      <alignment/>
    </xf>
    <xf numFmtId="0" fontId="4" fillId="0" borderId="62" xfId="0" applyNumberFormat="1" applyFont="1" applyBorder="1" applyAlignment="1">
      <alignment horizontal="left" vertical="center" wrapText="1"/>
    </xf>
    <xf numFmtId="0" fontId="2" fillId="0" borderId="60" xfId="0" applyNumberFormat="1" applyFont="1" applyBorder="1" applyAlignment="1">
      <alignment/>
    </xf>
    <xf numFmtId="0" fontId="2" fillId="0" borderId="63" xfId="0" applyNumberFormat="1" applyFont="1" applyBorder="1" applyAlignment="1">
      <alignment horizontal="left" vertical="top" wrapText="1"/>
    </xf>
    <xf numFmtId="4" fontId="50" fillId="0" borderId="0" xfId="0" applyNumberFormat="1" applyFont="1" applyBorder="1" applyAlignment="1">
      <alignment/>
    </xf>
    <xf numFmtId="0" fontId="4" fillId="0" borderId="59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9" fillId="34" borderId="58" xfId="0" applyNumberFormat="1" applyFont="1" applyFill="1" applyBorder="1" applyAlignment="1">
      <alignment horizontal="center" vertical="center" wrapText="1"/>
    </xf>
    <xf numFmtId="172" fontId="9" fillId="34" borderId="57" xfId="0" applyNumberFormat="1" applyFont="1" applyFill="1" applyBorder="1" applyAlignment="1">
      <alignment horizontal="center" vertical="center" wrapText="1"/>
    </xf>
    <xf numFmtId="172" fontId="9" fillId="34" borderId="55" xfId="0" applyNumberFormat="1" applyFont="1" applyFill="1" applyBorder="1" applyAlignment="1">
      <alignment horizontal="center" vertical="center" wrapText="1"/>
    </xf>
    <xf numFmtId="172" fontId="9" fillId="34" borderId="56" xfId="0" applyNumberFormat="1" applyFont="1" applyFill="1" applyBorder="1" applyAlignment="1">
      <alignment horizontal="center" vertical="center" wrapText="1"/>
    </xf>
    <xf numFmtId="0" fontId="4" fillId="0" borderId="64" xfId="0" applyNumberFormat="1" applyFont="1" applyBorder="1" applyAlignment="1">
      <alignment horizontal="center" vertical="center" wrapText="1"/>
    </xf>
    <xf numFmtId="172" fontId="4" fillId="0" borderId="19" xfId="0" applyNumberFormat="1" applyFont="1" applyFill="1" applyBorder="1" applyAlignment="1">
      <alignment/>
    </xf>
    <xf numFmtId="172" fontId="4" fillId="0" borderId="16" xfId="0" applyNumberFormat="1" applyFont="1" applyFill="1" applyBorder="1" applyAlignment="1">
      <alignment/>
    </xf>
    <xf numFmtId="172" fontId="4" fillId="0" borderId="20" xfId="0" applyNumberFormat="1" applyFont="1" applyFill="1" applyBorder="1" applyAlignment="1">
      <alignment/>
    </xf>
    <xf numFmtId="172" fontId="4" fillId="35" borderId="65" xfId="0" applyNumberFormat="1" applyFont="1" applyFill="1" applyBorder="1" applyAlignment="1">
      <alignment/>
    </xf>
    <xf numFmtId="172" fontId="4" fillId="35" borderId="20" xfId="0" applyNumberFormat="1" applyFont="1" applyFill="1" applyBorder="1" applyAlignment="1">
      <alignment/>
    </xf>
    <xf numFmtId="172" fontId="4" fillId="35" borderId="16" xfId="0" applyNumberFormat="1" applyFont="1" applyFill="1" applyBorder="1" applyAlignment="1">
      <alignment/>
    </xf>
    <xf numFmtId="172" fontId="4" fillId="35" borderId="21" xfId="0" applyNumberFormat="1" applyFont="1" applyFill="1" applyBorder="1" applyAlignment="1">
      <alignment/>
    </xf>
    <xf numFmtId="172" fontId="4" fillId="35" borderId="54" xfId="0" applyNumberFormat="1" applyFont="1" applyFill="1" applyBorder="1" applyAlignment="1">
      <alignment/>
    </xf>
    <xf numFmtId="172" fontId="4" fillId="35" borderId="22" xfId="0" applyNumberFormat="1" applyFont="1" applyFill="1" applyBorder="1" applyAlignment="1">
      <alignment/>
    </xf>
    <xf numFmtId="172" fontId="4" fillId="0" borderId="66" xfId="0" applyNumberFormat="1" applyFont="1" applyFill="1" applyBorder="1" applyAlignment="1">
      <alignment/>
    </xf>
    <xf numFmtId="172" fontId="2" fillId="0" borderId="66" xfId="0" applyNumberFormat="1" applyFont="1" applyFill="1" applyBorder="1" applyAlignment="1">
      <alignment/>
    </xf>
    <xf numFmtId="172" fontId="2" fillId="0" borderId="66" xfId="0" applyNumberFormat="1" applyFont="1" applyFill="1" applyBorder="1" applyAlignment="1">
      <alignment vertical="top" wrapText="1"/>
    </xf>
    <xf numFmtId="172" fontId="2" fillId="0" borderId="66" xfId="0" applyNumberFormat="1" applyFont="1" applyFill="1" applyBorder="1" applyAlignment="1">
      <alignment/>
    </xf>
    <xf numFmtId="172" fontId="4" fillId="0" borderId="66" xfId="0" applyNumberFormat="1" applyFont="1" applyFill="1" applyBorder="1" applyAlignment="1">
      <alignment vertical="top" wrapText="1"/>
    </xf>
    <xf numFmtId="172" fontId="4" fillId="0" borderId="66" xfId="0" applyNumberFormat="1" applyFont="1" applyFill="1" applyBorder="1" applyAlignment="1">
      <alignment horizontal="center"/>
    </xf>
    <xf numFmtId="172" fontId="2" fillId="0" borderId="66" xfId="0" applyNumberFormat="1" applyFont="1" applyFill="1" applyBorder="1" applyAlignment="1">
      <alignment horizontal="center"/>
    </xf>
    <xf numFmtId="172" fontId="2" fillId="0" borderId="66" xfId="0" applyNumberFormat="1" applyFont="1" applyBorder="1" applyAlignment="1">
      <alignment horizontal="center"/>
    </xf>
    <xf numFmtId="172" fontId="0" fillId="0" borderId="66" xfId="0" applyNumberFormat="1" applyFont="1" applyBorder="1" applyAlignment="1">
      <alignment horizontal="center"/>
    </xf>
    <xf numFmtId="172" fontId="0" fillId="0" borderId="66" xfId="0" applyNumberFormat="1" applyFont="1" applyFill="1" applyBorder="1" applyAlignment="1">
      <alignment horizontal="center"/>
    </xf>
    <xf numFmtId="172" fontId="4" fillId="0" borderId="66" xfId="0" applyNumberFormat="1" applyFont="1" applyFill="1" applyBorder="1" applyAlignment="1">
      <alignment horizontal="center" vertical="top" wrapText="1"/>
    </xf>
    <xf numFmtId="172" fontId="8" fillId="36" borderId="67" xfId="0" applyNumberFormat="1" applyFont="1" applyFill="1" applyBorder="1" applyAlignment="1">
      <alignment wrapText="1"/>
    </xf>
    <xf numFmtId="172" fontId="8" fillId="36" borderId="67" xfId="0" applyNumberFormat="1" applyFont="1" applyFill="1" applyBorder="1" applyAlignment="1">
      <alignment/>
    </xf>
    <xf numFmtId="172" fontId="8" fillId="36" borderId="67" xfId="0" applyNumberFormat="1" applyFont="1" applyFill="1" applyBorder="1" applyAlignment="1">
      <alignment/>
    </xf>
    <xf numFmtId="172" fontId="9" fillId="36" borderId="67" xfId="0" applyNumberFormat="1" applyFont="1" applyFill="1" applyBorder="1" applyAlignment="1">
      <alignment horizontal="center"/>
    </xf>
    <xf numFmtId="172" fontId="9" fillId="36" borderId="68" xfId="0" applyNumberFormat="1" applyFont="1" applyFill="1" applyBorder="1" applyAlignment="1">
      <alignment horizontal="center"/>
    </xf>
    <xf numFmtId="0" fontId="5" fillId="0" borderId="69" xfId="0" applyNumberFormat="1" applyFont="1" applyBorder="1" applyAlignment="1">
      <alignment horizontal="left" vertical="top" wrapText="1"/>
    </xf>
    <xf numFmtId="172" fontId="4" fillId="0" borderId="70" xfId="0" applyNumberFormat="1" applyFont="1" applyFill="1" applyBorder="1" applyAlignment="1">
      <alignment horizontal="center"/>
    </xf>
    <xf numFmtId="0" fontId="2" fillId="0" borderId="69" xfId="0" applyNumberFormat="1" applyFont="1" applyBorder="1" applyAlignment="1">
      <alignment horizontal="left" vertical="top" wrapText="1"/>
    </xf>
    <xf numFmtId="172" fontId="2" fillId="0" borderId="70" xfId="0" applyNumberFormat="1" applyFont="1" applyBorder="1" applyAlignment="1">
      <alignment horizontal="center"/>
    </xf>
    <xf numFmtId="0" fontId="2" fillId="35" borderId="69" xfId="0" applyNumberFormat="1" applyFont="1" applyFill="1" applyBorder="1" applyAlignment="1">
      <alignment/>
    </xf>
    <xf numFmtId="172" fontId="4" fillId="0" borderId="70" xfId="0" applyNumberFormat="1" applyFont="1" applyFill="1" applyBorder="1" applyAlignment="1">
      <alignment horizontal="center" vertical="top" wrapText="1"/>
    </xf>
    <xf numFmtId="0" fontId="0" fillId="36" borderId="69" xfId="0" applyNumberFormat="1" applyFont="1" applyFill="1" applyBorder="1" applyAlignment="1">
      <alignment horizontal="right" vertical="top" wrapText="1"/>
    </xf>
    <xf numFmtId="172" fontId="0" fillId="36" borderId="66" xfId="0" applyNumberFormat="1" applyFont="1" applyFill="1" applyBorder="1" applyAlignment="1">
      <alignment vertical="top" wrapText="1"/>
    </xf>
    <xf numFmtId="172" fontId="0" fillId="36" borderId="66" xfId="0" applyNumberFormat="1" applyFont="1" applyFill="1" applyBorder="1" applyAlignment="1">
      <alignment/>
    </xf>
    <xf numFmtId="172" fontId="0" fillId="36" borderId="66" xfId="0" applyNumberFormat="1" applyFont="1" applyFill="1" applyBorder="1" applyAlignment="1">
      <alignment/>
    </xf>
    <xf numFmtId="175" fontId="0" fillId="36" borderId="66" xfId="0" applyNumberFormat="1" applyFont="1" applyFill="1" applyBorder="1" applyAlignment="1">
      <alignment horizontal="center"/>
    </xf>
    <xf numFmtId="175" fontId="0" fillId="36" borderId="70" xfId="0" applyNumberFormat="1" applyFont="1" applyFill="1" applyBorder="1" applyAlignment="1">
      <alignment horizontal="center"/>
    </xf>
    <xf numFmtId="0" fontId="0" fillId="36" borderId="71" xfId="0" applyNumberFormat="1" applyFont="1" applyFill="1" applyBorder="1" applyAlignment="1">
      <alignment horizontal="right" vertical="top" wrapText="1"/>
    </xf>
    <xf numFmtId="172" fontId="0" fillId="36" borderId="72" xfId="0" applyNumberFormat="1" applyFont="1" applyFill="1" applyBorder="1" applyAlignment="1">
      <alignment vertical="top" wrapText="1"/>
    </xf>
    <xf numFmtId="172" fontId="0" fillId="36" borderId="72" xfId="0" applyNumberFormat="1" applyFont="1" applyFill="1" applyBorder="1" applyAlignment="1">
      <alignment/>
    </xf>
    <xf numFmtId="172" fontId="0" fillId="36" borderId="72" xfId="0" applyNumberFormat="1" applyFont="1" applyFill="1" applyBorder="1" applyAlignment="1">
      <alignment/>
    </xf>
    <xf numFmtId="175" fontId="0" fillId="36" borderId="72" xfId="0" applyNumberFormat="1" applyFont="1" applyFill="1" applyBorder="1" applyAlignment="1">
      <alignment horizontal="center"/>
    </xf>
    <xf numFmtId="175" fontId="0" fillId="36" borderId="73" xfId="0" applyNumberFormat="1" applyFont="1" applyFill="1" applyBorder="1" applyAlignment="1">
      <alignment horizontal="center"/>
    </xf>
    <xf numFmtId="0" fontId="8" fillId="38" borderId="74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177" fontId="10" fillId="0" borderId="0" xfId="0" applyNumberFormat="1" applyFont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Alignment="1">
      <alignment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right" vertical="center" wrapText="1"/>
    </xf>
    <xf numFmtId="3" fontId="10" fillId="35" borderId="0" xfId="0" applyNumberFormat="1" applyFont="1" applyFill="1" applyAlignment="1">
      <alignment horizontal="right" vertical="center" wrapText="1"/>
    </xf>
    <xf numFmtId="0" fontId="11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0" fontId="51" fillId="0" borderId="0" xfId="0" applyNumberFormat="1" applyFont="1" applyAlignment="1">
      <alignment/>
    </xf>
    <xf numFmtId="175" fontId="51" fillId="0" borderId="0" xfId="0" applyNumberFormat="1" applyFont="1" applyAlignment="1">
      <alignment/>
    </xf>
    <xf numFmtId="0" fontId="2" fillId="12" borderId="66" xfId="0" applyNumberFormat="1" applyFont="1" applyFill="1" applyBorder="1" applyAlignment="1">
      <alignment horizontal="left" vertical="top" wrapText="1"/>
    </xf>
    <xf numFmtId="172" fontId="2" fillId="12" borderId="66" xfId="0" applyNumberFormat="1" applyFont="1" applyFill="1" applyBorder="1" applyAlignment="1">
      <alignment vertical="top" wrapText="1"/>
    </xf>
    <xf numFmtId="172" fontId="2" fillId="12" borderId="66" xfId="0" applyNumberFormat="1" applyFont="1" applyFill="1" applyBorder="1" applyAlignment="1">
      <alignment/>
    </xf>
    <xf numFmtId="172" fontId="2" fillId="12" borderId="66" xfId="0" applyNumberFormat="1" applyFont="1" applyFill="1" applyBorder="1" applyAlignment="1">
      <alignment/>
    </xf>
    <xf numFmtId="172" fontId="0" fillId="12" borderId="66" xfId="0" applyNumberFormat="1" applyFont="1" applyFill="1" applyBorder="1" applyAlignment="1">
      <alignment/>
    </xf>
    <xf numFmtId="172" fontId="2" fillId="12" borderId="66" xfId="0" applyNumberFormat="1" applyFont="1" applyFill="1" applyBorder="1" applyAlignment="1">
      <alignment horizontal="right"/>
    </xf>
    <xf numFmtId="172" fontId="0" fillId="12" borderId="66" xfId="0" applyNumberFormat="1" applyFont="1" applyFill="1" applyBorder="1" applyAlignment="1">
      <alignment horizontal="right"/>
    </xf>
    <xf numFmtId="0" fontId="2" fillId="12" borderId="66" xfId="0" applyNumberFormat="1" applyFont="1" applyFill="1" applyBorder="1" applyAlignment="1">
      <alignment horizontal="right" vertical="top" wrapText="1"/>
    </xf>
    <xf numFmtId="172" fontId="9" fillId="12" borderId="66" xfId="0" applyNumberFormat="1" applyFont="1" applyFill="1" applyBorder="1" applyAlignment="1">
      <alignment horizontal="right" vertical="center"/>
    </xf>
    <xf numFmtId="172" fontId="2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2" fontId="4" fillId="0" borderId="75" xfId="0" applyNumberFormat="1" applyFont="1" applyBorder="1" applyAlignment="1">
      <alignment/>
    </xf>
    <xf numFmtId="175" fontId="4" fillId="0" borderId="76" xfId="0" applyNumberFormat="1" applyFont="1" applyBorder="1" applyAlignment="1">
      <alignment/>
    </xf>
    <xf numFmtId="172" fontId="4" fillId="0" borderId="76" xfId="0" applyNumberFormat="1" applyFont="1" applyBorder="1" applyAlignment="1">
      <alignment vertical="top" wrapText="1"/>
    </xf>
    <xf numFmtId="172" fontId="2" fillId="0" borderId="77" xfId="0" applyNumberFormat="1" applyFont="1" applyBorder="1" applyAlignment="1">
      <alignment/>
    </xf>
    <xf numFmtId="172" fontId="2" fillId="0" borderId="78" xfId="0" applyNumberFormat="1" applyFont="1" applyBorder="1" applyAlignment="1">
      <alignment/>
    </xf>
    <xf numFmtId="172" fontId="4" fillId="0" borderId="76" xfId="0" applyNumberFormat="1" applyFont="1" applyFill="1" applyBorder="1" applyAlignment="1">
      <alignment vertical="top" wrapText="1"/>
    </xf>
    <xf numFmtId="172" fontId="2" fillId="0" borderId="75" xfId="0" applyNumberFormat="1" applyFont="1" applyBorder="1" applyAlignment="1">
      <alignment/>
    </xf>
    <xf numFmtId="172" fontId="4" fillId="0" borderId="76" xfId="0" applyNumberFormat="1" applyFont="1" applyFill="1" applyBorder="1" applyAlignment="1">
      <alignment wrapText="1"/>
    </xf>
    <xf numFmtId="172" fontId="4" fillId="0" borderId="76" xfId="0" applyNumberFormat="1" applyFont="1" applyFill="1" applyBorder="1" applyAlignment="1">
      <alignment/>
    </xf>
    <xf numFmtId="172" fontId="4" fillId="35" borderId="79" xfId="0" applyNumberFormat="1" applyFont="1" applyFill="1" applyBorder="1" applyAlignment="1">
      <alignment/>
    </xf>
    <xf numFmtId="172" fontId="2" fillId="0" borderId="80" xfId="0" applyNumberFormat="1" applyFont="1" applyBorder="1" applyAlignment="1">
      <alignment/>
    </xf>
    <xf numFmtId="172" fontId="3" fillId="0" borderId="78" xfId="0" applyNumberFormat="1" applyFont="1" applyBorder="1" applyAlignment="1">
      <alignment/>
    </xf>
    <xf numFmtId="172" fontId="3" fillId="0" borderId="80" xfId="0" applyNumberFormat="1" applyFont="1" applyBorder="1" applyAlignment="1">
      <alignment/>
    </xf>
    <xf numFmtId="174" fontId="4" fillId="33" borderId="81" xfId="0" applyNumberFormat="1" applyFont="1" applyFill="1" applyBorder="1" applyAlignment="1">
      <alignment horizontal="center" vertical="center"/>
    </xf>
    <xf numFmtId="172" fontId="4" fillId="34" borderId="81" xfId="0" applyNumberFormat="1" applyFont="1" applyFill="1" applyBorder="1" applyAlignment="1">
      <alignment horizontal="center" vertical="center" wrapText="1"/>
    </xf>
    <xf numFmtId="175" fontId="4" fillId="34" borderId="81" xfId="0" applyNumberFormat="1" applyFont="1" applyFill="1" applyBorder="1" applyAlignment="1">
      <alignment horizontal="center" vertical="center" wrapText="1"/>
    </xf>
    <xf numFmtId="172" fontId="49" fillId="0" borderId="78" xfId="0" applyNumberFormat="1" applyFont="1" applyBorder="1" applyAlignment="1">
      <alignment/>
    </xf>
    <xf numFmtId="172" fontId="4" fillId="0" borderId="82" xfId="0" applyNumberFormat="1" applyFont="1" applyBorder="1" applyAlignment="1">
      <alignment/>
    </xf>
    <xf numFmtId="175" fontId="4" fillId="0" borderId="83" xfId="0" applyNumberFormat="1" applyFont="1" applyBorder="1" applyAlignment="1">
      <alignment/>
    </xf>
    <xf numFmtId="172" fontId="4" fillId="0" borderId="83" xfId="0" applyNumberFormat="1" applyFont="1" applyBorder="1" applyAlignment="1">
      <alignment vertical="top" wrapText="1"/>
    </xf>
    <xf numFmtId="172" fontId="2" fillId="0" borderId="84" xfId="0" applyNumberFormat="1" applyFont="1" applyBorder="1" applyAlignment="1">
      <alignment/>
    </xf>
    <xf numFmtId="172" fontId="2" fillId="0" borderId="85" xfId="0" applyNumberFormat="1" applyFont="1" applyBorder="1" applyAlignment="1">
      <alignment/>
    </xf>
    <xf numFmtId="172" fontId="4" fillId="0" borderId="83" xfId="0" applyNumberFormat="1" applyFont="1" applyFill="1" applyBorder="1" applyAlignment="1">
      <alignment vertical="top" wrapText="1"/>
    </xf>
    <xf numFmtId="172" fontId="2" fillId="0" borderId="82" xfId="0" applyNumberFormat="1" applyFont="1" applyBorder="1" applyAlignment="1">
      <alignment/>
    </xf>
    <xf numFmtId="172" fontId="4" fillId="0" borderId="83" xfId="0" applyNumberFormat="1" applyFont="1" applyFill="1" applyBorder="1" applyAlignment="1">
      <alignment wrapText="1"/>
    </xf>
    <xf numFmtId="172" fontId="4" fillId="0" borderId="83" xfId="0" applyNumberFormat="1" applyFont="1" applyFill="1" applyBorder="1" applyAlignment="1">
      <alignment/>
    </xf>
    <xf numFmtId="172" fontId="4" fillId="35" borderId="86" xfId="0" applyNumberFormat="1" applyFont="1" applyFill="1" applyBorder="1" applyAlignment="1">
      <alignment/>
    </xf>
    <xf numFmtId="172" fontId="49" fillId="0" borderId="85" xfId="0" applyNumberFormat="1" applyFont="1" applyBorder="1" applyAlignment="1">
      <alignment/>
    </xf>
    <xf numFmtId="172" fontId="2" fillId="0" borderId="87" xfId="0" applyNumberFormat="1" applyFont="1" applyBorder="1" applyAlignment="1">
      <alignment/>
    </xf>
    <xf numFmtId="0" fontId="11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71"/>
  <sheetViews>
    <sheetView view="pageBreakPreview" zoomScale="85" zoomScaleNormal="75" zoomScaleSheetLayoutView="85" zoomScalePageLayoutView="0" workbookViewId="0" topLeftCell="A1">
      <pane xSplit="1" topLeftCell="J1" activePane="topRight" state="frozen"/>
      <selection pane="topLeft" activeCell="A1" sqref="A1"/>
      <selection pane="topRight" activeCell="X4" sqref="X4"/>
    </sheetView>
  </sheetViews>
  <sheetFormatPr defaultColWidth="9.6640625" defaultRowHeight="16.5" customHeight="1"/>
  <cols>
    <col min="1" max="1" width="39.3359375" style="1" customWidth="1"/>
    <col min="2" max="2" width="8.6640625" style="1" customWidth="1"/>
    <col min="3" max="3" width="8.4453125" style="1" customWidth="1"/>
    <col min="4" max="4" width="8.21484375" style="1" customWidth="1"/>
    <col min="5" max="5" width="8.6640625" style="1" customWidth="1"/>
    <col min="6" max="6" width="8.99609375" style="1" customWidth="1"/>
    <col min="7" max="7" width="8.5546875" style="1" customWidth="1"/>
    <col min="8" max="8" width="8.6640625" style="1" customWidth="1"/>
    <col min="9" max="9" width="9.3359375" style="163" customWidth="1"/>
    <col min="10" max="10" width="10.3359375" style="1" customWidth="1"/>
    <col min="11" max="11" width="10.3359375" style="163" customWidth="1"/>
    <col min="12" max="12" width="10.105468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10.445312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77734375" style="1" customWidth="1"/>
    <col min="61" max="71" width="11.77734375" style="1" hidden="1" customWidth="1"/>
    <col min="72" max="72" width="11.77734375" style="163" customWidth="1"/>
    <col min="73" max="78" width="11.77734375" style="153" customWidth="1"/>
    <col min="79" max="16384" width="9.6640625" style="1" customWidth="1"/>
  </cols>
  <sheetData>
    <row r="1" spans="9:73" ht="16.5" customHeight="1">
      <c r="I1" s="1"/>
      <c r="K1" s="1"/>
      <c r="Q1" s="1"/>
      <c r="V1" s="1"/>
      <c r="AV1" s="1"/>
      <c r="BT1" s="1"/>
      <c r="BU1" s="1"/>
    </row>
    <row r="2" spans="9:73" ht="16.5" customHeight="1">
      <c r="I2" s="1"/>
      <c r="K2" s="1"/>
      <c r="Q2" s="1"/>
      <c r="V2" s="1"/>
      <c r="AV2" s="1"/>
      <c r="BT2" s="1"/>
      <c r="BU2" s="1"/>
    </row>
    <row r="3" spans="9:73" ht="16.5" customHeight="1">
      <c r="I3" s="1"/>
      <c r="K3" s="1"/>
      <c r="Q3" s="1"/>
      <c r="V3" s="1"/>
      <c r="AV3" s="1"/>
      <c r="BT3" s="1"/>
      <c r="BU3" s="1"/>
    </row>
    <row r="4" spans="9:73" ht="16.5" customHeight="1">
      <c r="I4" s="1"/>
      <c r="K4" s="1"/>
      <c r="Q4" s="1"/>
      <c r="V4" s="1"/>
      <c r="AV4" s="1"/>
      <c r="BT4" s="1"/>
      <c r="BU4" s="1"/>
    </row>
    <row r="5" spans="1:78" ht="16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1"/>
      <c r="BW5" s="1"/>
      <c r="BX5" s="152"/>
      <c r="BY5" s="152"/>
      <c r="BZ5" s="152" t="s">
        <v>54</v>
      </c>
    </row>
    <row r="6" spans="1:78" ht="36.75" customHeight="1" thickBot="1">
      <c r="A6" s="5" t="s">
        <v>0</v>
      </c>
      <c r="B6" s="6">
        <v>2000</v>
      </c>
      <c r="C6" s="7">
        <v>2001</v>
      </c>
      <c r="D6" s="7">
        <v>2002</v>
      </c>
      <c r="E6" s="7">
        <v>2003</v>
      </c>
      <c r="F6" s="7">
        <v>2004</v>
      </c>
      <c r="G6" s="7">
        <v>2005</v>
      </c>
      <c r="H6" s="7">
        <v>2006</v>
      </c>
      <c r="I6" s="7">
        <v>2007</v>
      </c>
      <c r="J6" s="7">
        <v>2008</v>
      </c>
      <c r="K6" s="7">
        <v>2009</v>
      </c>
      <c r="L6" s="8">
        <v>2010</v>
      </c>
      <c r="M6" s="9">
        <v>40574</v>
      </c>
      <c r="N6" s="9">
        <v>40602</v>
      </c>
      <c r="O6" s="9">
        <v>40633</v>
      </c>
      <c r="P6" s="9">
        <v>40663</v>
      </c>
      <c r="Q6" s="9">
        <v>40694</v>
      </c>
      <c r="R6" s="9">
        <v>40724</v>
      </c>
      <c r="S6" s="10">
        <v>40755</v>
      </c>
      <c r="T6" s="10">
        <v>40786</v>
      </c>
      <c r="U6" s="10">
        <v>40816</v>
      </c>
      <c r="V6" s="9">
        <v>40847</v>
      </c>
      <c r="W6" s="11">
        <v>40877</v>
      </c>
      <c r="X6" s="12">
        <v>2011</v>
      </c>
      <c r="Y6" s="10">
        <v>40939</v>
      </c>
      <c r="Z6" s="13">
        <v>40968</v>
      </c>
      <c r="AA6" s="13">
        <v>40999</v>
      </c>
      <c r="AB6" s="13">
        <v>41029</v>
      </c>
      <c r="AC6" s="13">
        <v>41060</v>
      </c>
      <c r="AD6" s="13">
        <v>41090</v>
      </c>
      <c r="AE6" s="13">
        <v>41121</v>
      </c>
      <c r="AF6" s="13">
        <v>41152</v>
      </c>
      <c r="AG6" s="13">
        <v>41182</v>
      </c>
      <c r="AH6" s="13">
        <v>41213</v>
      </c>
      <c r="AI6" s="13">
        <v>41243</v>
      </c>
      <c r="AJ6" s="8">
        <v>2012</v>
      </c>
      <c r="AK6" s="10">
        <v>41305</v>
      </c>
      <c r="AL6" s="10">
        <v>41333</v>
      </c>
      <c r="AM6" s="10">
        <v>41364</v>
      </c>
      <c r="AN6" s="10">
        <v>41394</v>
      </c>
      <c r="AO6" s="14">
        <v>41425</v>
      </c>
      <c r="AP6" s="11">
        <v>41455</v>
      </c>
      <c r="AQ6" s="13">
        <v>41486</v>
      </c>
      <c r="AR6" s="13">
        <v>41517</v>
      </c>
      <c r="AS6" s="13">
        <v>41547</v>
      </c>
      <c r="AT6" s="13">
        <v>41578</v>
      </c>
      <c r="AU6" s="15">
        <v>41608</v>
      </c>
      <c r="AV6" s="8">
        <v>2013</v>
      </c>
      <c r="AW6" s="9">
        <v>41670</v>
      </c>
      <c r="AX6" s="9">
        <v>41698</v>
      </c>
      <c r="AY6" s="9">
        <v>41729</v>
      </c>
      <c r="AZ6" s="9">
        <v>41759</v>
      </c>
      <c r="BA6" s="15">
        <v>41790</v>
      </c>
      <c r="BB6" s="15">
        <v>41820</v>
      </c>
      <c r="BC6" s="16">
        <v>41851</v>
      </c>
      <c r="BD6" s="16">
        <v>41882</v>
      </c>
      <c r="BE6" s="16">
        <v>41912</v>
      </c>
      <c r="BF6" s="16">
        <v>41943</v>
      </c>
      <c r="BG6" s="16">
        <v>41973</v>
      </c>
      <c r="BH6" s="16">
        <v>42004</v>
      </c>
      <c r="BI6" s="16">
        <v>42035</v>
      </c>
      <c r="BJ6" s="16">
        <v>42063</v>
      </c>
      <c r="BK6" s="16">
        <v>42094</v>
      </c>
      <c r="BL6" s="16">
        <v>42124</v>
      </c>
      <c r="BM6" s="16">
        <v>42155</v>
      </c>
      <c r="BN6" s="16">
        <v>42185</v>
      </c>
      <c r="BO6" s="16">
        <v>42216</v>
      </c>
      <c r="BP6" s="16">
        <v>42247</v>
      </c>
      <c r="BQ6" s="16">
        <v>42277</v>
      </c>
      <c r="BR6" s="16">
        <v>42308</v>
      </c>
      <c r="BS6" s="16">
        <v>42338</v>
      </c>
      <c r="BT6" s="16">
        <v>42369</v>
      </c>
      <c r="BU6" s="16">
        <v>42400</v>
      </c>
      <c r="BV6" s="16">
        <v>42429</v>
      </c>
      <c r="BW6" s="16">
        <v>42460</v>
      </c>
      <c r="BX6" s="16">
        <v>42490</v>
      </c>
      <c r="BY6" s="16">
        <v>42521</v>
      </c>
      <c r="BZ6" s="16">
        <v>42551</v>
      </c>
    </row>
    <row r="7" spans="1:78" ht="27.75" customHeight="1" hidden="1" thickBot="1">
      <c r="A7" s="17" t="s">
        <v>1</v>
      </c>
      <c r="B7" s="18">
        <f aca="true" t="shared" si="0" ref="B7:AM7">B9+B50</f>
        <v>25288.80802</v>
      </c>
      <c r="C7" s="19">
        <f t="shared" si="0"/>
        <v>33817.842</v>
      </c>
      <c r="D7" s="18">
        <f t="shared" si="0"/>
        <v>43867.39546</v>
      </c>
      <c r="E7" s="19">
        <f t="shared" si="0"/>
        <v>51363.20874999999</v>
      </c>
      <c r="F7" s="19">
        <f t="shared" si="0"/>
        <v>55819.68415</v>
      </c>
      <c r="G7" s="19">
        <f t="shared" si="0"/>
        <v>59010.94912</v>
      </c>
      <c r="H7" s="20">
        <f t="shared" si="0"/>
        <v>63340.806710000004</v>
      </c>
      <c r="I7" s="20">
        <f t="shared" si="0"/>
        <v>82324.33</v>
      </c>
      <c r="J7" s="19">
        <f t="shared" si="0"/>
        <v>109795.09999999999</v>
      </c>
      <c r="K7" s="19">
        <f t="shared" si="0"/>
        <v>147329</v>
      </c>
      <c r="L7" s="20">
        <f t="shared" si="0"/>
        <v>194459.225216</v>
      </c>
      <c r="M7" s="19">
        <f t="shared" si="0"/>
        <v>190381.64851</v>
      </c>
      <c r="N7" s="19">
        <f t="shared" si="0"/>
        <v>193107.39250000002</v>
      </c>
      <c r="O7" s="20">
        <f t="shared" si="0"/>
        <v>198980.506151</v>
      </c>
      <c r="P7" s="20">
        <f t="shared" si="0"/>
        <v>195474.53456</v>
      </c>
      <c r="Q7" s="19">
        <f t="shared" si="0"/>
        <v>200663.32431999999</v>
      </c>
      <c r="R7" s="21">
        <f t="shared" si="0"/>
        <v>214025.75594</v>
      </c>
      <c r="S7" s="20">
        <f t="shared" si="0"/>
        <v>204632.34567</v>
      </c>
      <c r="T7" s="20">
        <f t="shared" si="0"/>
        <v>207572.22164</v>
      </c>
      <c r="U7" s="20">
        <f t="shared" si="0"/>
        <v>212342.97689</v>
      </c>
      <c r="V7" s="19">
        <f t="shared" si="0"/>
        <v>211502.83140999998</v>
      </c>
      <c r="W7" s="21">
        <f t="shared" si="0"/>
        <v>214379.13931</v>
      </c>
      <c r="X7" s="19">
        <f t="shared" si="0"/>
        <v>223268</v>
      </c>
      <c r="Y7" s="19">
        <f t="shared" si="0"/>
        <v>220133.9</v>
      </c>
      <c r="Z7" s="19">
        <f t="shared" si="0"/>
        <v>230376.4</v>
      </c>
      <c r="AA7" s="19">
        <f t="shared" si="0"/>
        <v>235172.1</v>
      </c>
      <c r="AB7" s="19">
        <f t="shared" si="0"/>
        <v>236648.30000000002</v>
      </c>
      <c r="AC7" s="19">
        <f t="shared" si="0"/>
        <v>237762.90000000002</v>
      </c>
      <c r="AD7" s="19">
        <f t="shared" si="0"/>
        <v>232171.8</v>
      </c>
      <c r="AE7" s="19">
        <f t="shared" si="0"/>
        <v>236699.4</v>
      </c>
      <c r="AF7" s="19">
        <f t="shared" si="0"/>
        <v>231663.8</v>
      </c>
      <c r="AG7" s="19">
        <f t="shared" si="0"/>
        <v>236297.5</v>
      </c>
      <c r="AH7" s="19">
        <f t="shared" si="0"/>
        <v>238893.20004</v>
      </c>
      <c r="AI7" s="19">
        <f t="shared" si="0"/>
        <v>240876</v>
      </c>
      <c r="AJ7" s="19">
        <f t="shared" si="0"/>
        <v>240842.6</v>
      </c>
      <c r="AK7" s="20">
        <f t="shared" si="0"/>
        <v>240638.59999999998</v>
      </c>
      <c r="AL7" s="20">
        <f t="shared" si="0"/>
        <v>249736.2</v>
      </c>
      <c r="AM7" s="20">
        <f t="shared" si="0"/>
        <v>252638.56999999998</v>
      </c>
      <c r="AN7" s="20">
        <v>253188.3</v>
      </c>
      <c r="AO7" s="22">
        <f aca="true" t="shared" si="1" ref="AO7:AT7">AO9+AO50</f>
        <v>250128.99999999997</v>
      </c>
      <c r="AP7" s="23">
        <f t="shared" si="1"/>
        <v>254325.2</v>
      </c>
      <c r="AQ7" s="24">
        <f t="shared" si="1"/>
        <v>252605.49999999997</v>
      </c>
      <c r="AR7" s="24">
        <f t="shared" si="1"/>
        <v>253657.6</v>
      </c>
      <c r="AS7" s="24">
        <f t="shared" si="1"/>
        <v>261296.3</v>
      </c>
      <c r="AT7" s="24">
        <f t="shared" si="1"/>
        <v>266213.60000000003</v>
      </c>
      <c r="AU7" s="25">
        <v>261530.3</v>
      </c>
      <c r="AV7" s="19">
        <f aca="true" t="shared" si="2" ref="AV7:BZ7">AV9+AV50</f>
        <v>267150.89999999997</v>
      </c>
      <c r="AW7" s="19">
        <f t="shared" si="2"/>
        <v>270820</v>
      </c>
      <c r="AX7" s="19">
        <f t="shared" si="2"/>
        <v>274378.60000000003</v>
      </c>
      <c r="AY7" s="22">
        <f t="shared" si="2"/>
        <v>269394.8</v>
      </c>
      <c r="AZ7" s="22">
        <f t="shared" si="2"/>
        <v>276394.2</v>
      </c>
      <c r="BA7" s="25">
        <f t="shared" si="2"/>
        <v>270298.5</v>
      </c>
      <c r="BB7" s="25">
        <f t="shared" si="2"/>
        <v>271751.9</v>
      </c>
      <c r="BC7" s="25">
        <f t="shared" si="2"/>
        <v>269774.66</v>
      </c>
      <c r="BD7" s="25">
        <f t="shared" si="2"/>
        <v>270137.5</v>
      </c>
      <c r="BE7" s="25">
        <f t="shared" si="2"/>
        <v>268668.2</v>
      </c>
      <c r="BF7" s="25">
        <f t="shared" si="2"/>
        <v>276373.8</v>
      </c>
      <c r="BG7" s="25">
        <f t="shared" si="2"/>
        <v>280298.00000000006</v>
      </c>
      <c r="BH7" s="25">
        <f t="shared" si="2"/>
        <v>295655.5</v>
      </c>
      <c r="BI7" s="25">
        <f t="shared" si="2"/>
        <v>282917.4</v>
      </c>
      <c r="BJ7" s="25">
        <f t="shared" si="2"/>
        <v>287269.7</v>
      </c>
      <c r="BK7" s="25">
        <f t="shared" si="2"/>
        <v>283693.44</v>
      </c>
      <c r="BL7" s="25">
        <f t="shared" si="2"/>
        <v>280022.7</v>
      </c>
      <c r="BM7" s="25">
        <f t="shared" si="2"/>
        <v>283219.8</v>
      </c>
      <c r="BN7" s="25">
        <f t="shared" si="2"/>
        <v>288616.4</v>
      </c>
      <c r="BO7" s="25">
        <f t="shared" si="2"/>
        <v>283363.3</v>
      </c>
      <c r="BP7" s="25">
        <f t="shared" si="2"/>
        <v>285535.80000000005</v>
      </c>
      <c r="BQ7" s="25">
        <f t="shared" si="2"/>
        <v>287337</v>
      </c>
      <c r="BR7" s="25">
        <f t="shared" si="2"/>
        <v>292368</v>
      </c>
      <c r="BS7" s="25">
        <f t="shared" si="2"/>
        <v>297309.9</v>
      </c>
      <c r="BT7" s="164">
        <f t="shared" si="2"/>
        <v>315833.3</v>
      </c>
      <c r="BU7" s="25">
        <f t="shared" si="2"/>
        <v>306473</v>
      </c>
      <c r="BV7" s="25">
        <f t="shared" si="2"/>
        <v>310698.47000000003</v>
      </c>
      <c r="BW7" s="25">
        <f t="shared" si="2"/>
        <v>309543.3</v>
      </c>
      <c r="BX7" s="25">
        <f t="shared" si="2"/>
        <v>314036.8</v>
      </c>
      <c r="BY7" s="25">
        <f t="shared" si="2"/>
        <v>322358.2</v>
      </c>
      <c r="BZ7" s="25">
        <f t="shared" si="2"/>
        <v>318471.8</v>
      </c>
    </row>
    <row r="8" spans="1:78" ht="27.75" customHeight="1" hidden="1" thickBot="1">
      <c r="A8" s="156" t="s">
        <v>56</v>
      </c>
      <c r="B8" s="160">
        <f>B7/B63</f>
        <v>0.3122668756775979</v>
      </c>
      <c r="C8" s="160">
        <f aca="true" t="shared" si="3" ref="C8:AV8">C7/C63</f>
        <v>0.28672406601009276</v>
      </c>
      <c r="D8" s="160">
        <f t="shared" si="3"/>
        <v>0.2885690117552642</v>
      </c>
      <c r="E8" s="160">
        <f t="shared" si="3"/>
        <v>0.26016225061744147</v>
      </c>
      <c r="F8" s="160">
        <f t="shared" si="3"/>
        <v>0.22565442640115133</v>
      </c>
      <c r="G8" s="160">
        <f t="shared" si="3"/>
        <v>0.2042222173310271</v>
      </c>
      <c r="H8" s="160">
        <f t="shared" si="3"/>
        <v>0.18378266775104993</v>
      </c>
      <c r="I8" s="160">
        <f t="shared" si="3"/>
        <v>0.19789178926882928</v>
      </c>
      <c r="J8" s="160">
        <f t="shared" si="3"/>
        <v>0.2093773187713618</v>
      </c>
      <c r="K8" s="160">
        <f t="shared" si="3"/>
        <v>0.2885845646854558</v>
      </c>
      <c r="L8" s="160">
        <f t="shared" si="3"/>
        <v>0.3642370213886615</v>
      </c>
      <c r="M8" s="160">
        <f t="shared" si="3"/>
        <v>0.33809562868051857</v>
      </c>
      <c r="N8" s="160">
        <f t="shared" si="3"/>
        <v>0.34293623246315047</v>
      </c>
      <c r="O8" s="160">
        <f t="shared" si="3"/>
        <v>0.35336619810158054</v>
      </c>
      <c r="P8" s="160">
        <f t="shared" si="3"/>
        <v>0.34714000099449477</v>
      </c>
      <c r="Q8" s="160">
        <f t="shared" si="3"/>
        <v>0.3563546871248446</v>
      </c>
      <c r="R8" s="160">
        <f t="shared" si="3"/>
        <v>0.3800848089859705</v>
      </c>
      <c r="S8" s="160">
        <f t="shared" si="3"/>
        <v>0.36340320665956316</v>
      </c>
      <c r="T8" s="160">
        <f t="shared" si="3"/>
        <v>0.36862408389273665</v>
      </c>
      <c r="U8" s="160">
        <f t="shared" si="3"/>
        <v>0.37709638943349316</v>
      </c>
      <c r="V8" s="160">
        <f t="shared" si="3"/>
        <v>0.37560438893624576</v>
      </c>
      <c r="W8" s="160">
        <f t="shared" si="3"/>
        <v>0.3807123766826496</v>
      </c>
      <c r="X8" s="160">
        <f t="shared" si="3"/>
        <v>0.3950967709968377</v>
      </c>
      <c r="Y8" s="160">
        <f t="shared" si="3"/>
        <v>0.37616866028708135</v>
      </c>
      <c r="Z8" s="160">
        <f t="shared" si="3"/>
        <v>0.3936712235133288</v>
      </c>
      <c r="AA8" s="160">
        <f t="shared" si="3"/>
        <v>0.4018661995898838</v>
      </c>
      <c r="AB8" s="160">
        <f t="shared" si="3"/>
        <v>0.40438875598086127</v>
      </c>
      <c r="AC8" s="160">
        <f t="shared" si="3"/>
        <v>0.4062934039644566</v>
      </c>
      <c r="AD8" s="160">
        <f t="shared" si="3"/>
        <v>0.3967392344497607</v>
      </c>
      <c r="AE8" s="160">
        <f t="shared" si="3"/>
        <v>0.40447607655502393</v>
      </c>
      <c r="AF8" s="160">
        <f t="shared" si="3"/>
        <v>0.3958711551606288</v>
      </c>
      <c r="AG8" s="160">
        <f t="shared" si="3"/>
        <v>0.40378930280246067</v>
      </c>
      <c r="AH8" s="160">
        <f t="shared" si="3"/>
        <v>0.4082248804511278</v>
      </c>
      <c r="AI8" s="160">
        <f t="shared" si="3"/>
        <v>0.4116131237183869</v>
      </c>
      <c r="AJ8" s="160">
        <f t="shared" si="3"/>
        <v>0.40452796342424086</v>
      </c>
      <c r="AK8" s="160">
        <f t="shared" si="3"/>
        <v>0.3860718755013637</v>
      </c>
      <c r="AL8" s="160">
        <f t="shared" si="3"/>
        <v>0.40066773624257984</v>
      </c>
      <c r="AM8" s="160">
        <f t="shared" si="3"/>
        <v>0.40532419380715545</v>
      </c>
      <c r="AN8" s="160">
        <f t="shared" si="3"/>
        <v>0.40620616075725974</v>
      </c>
      <c r="AO8" s="160">
        <f t="shared" si="3"/>
        <v>0.401297930370608</v>
      </c>
      <c r="AP8" s="160">
        <f t="shared" si="3"/>
        <v>0.4061405301820505</v>
      </c>
      <c r="AQ8" s="160">
        <f t="shared" si="3"/>
        <v>0.4033942829766847</v>
      </c>
      <c r="AR8" s="160">
        <f t="shared" si="3"/>
        <v>0.4050744171191313</v>
      </c>
      <c r="AS8" s="160">
        <f t="shared" si="3"/>
        <v>0.4176731138107417</v>
      </c>
      <c r="AT8" s="160">
        <f t="shared" si="3"/>
        <v>0.4255332480818415</v>
      </c>
      <c r="AU8" s="160">
        <f t="shared" si="3"/>
        <v>0.41804715473145776</v>
      </c>
      <c r="AV8" s="160">
        <f t="shared" si="3"/>
        <v>0.4190891606636379</v>
      </c>
      <c r="AW8" s="157"/>
      <c r="AX8" s="157"/>
      <c r="AY8" s="159"/>
      <c r="AZ8" s="159"/>
      <c r="BA8" s="158"/>
      <c r="BB8" s="158"/>
      <c r="BC8" s="158"/>
      <c r="BD8" s="158"/>
      <c r="BE8" s="158"/>
      <c r="BF8" s="158"/>
      <c r="BG8" s="158"/>
      <c r="BH8" s="160">
        <f>BH7/BH63</f>
        <v>0.44287849940905694</v>
      </c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62">
        <f aca="true" t="shared" si="4" ref="BT8:BY8">BT7/BT63</f>
        <v>0.4430882435465769</v>
      </c>
      <c r="BU8" s="160">
        <f t="shared" si="4"/>
        <v>0.4048520475561427</v>
      </c>
      <c r="BV8" s="160">
        <f t="shared" si="4"/>
        <v>0.41043391017173053</v>
      </c>
      <c r="BW8" s="160">
        <f t="shared" si="4"/>
        <v>0.40890792602377807</v>
      </c>
      <c r="BX8" s="160">
        <f t="shared" si="4"/>
        <v>0.414843857331572</v>
      </c>
      <c r="BY8" s="160">
        <f t="shared" si="4"/>
        <v>0.42583645970937917</v>
      </c>
      <c r="BZ8" s="160">
        <f>BZ7/BZ63</f>
        <v>0.4207025099075297</v>
      </c>
    </row>
    <row r="9" spans="1:78" ht="21" customHeight="1">
      <c r="A9" s="26" t="s">
        <v>2</v>
      </c>
      <c r="B9" s="27">
        <f aca="true" t="shared" si="5" ref="B9:AM9">B11</f>
        <v>25285.50802</v>
      </c>
      <c r="C9" s="28">
        <f t="shared" si="5"/>
        <v>33776.441999999995</v>
      </c>
      <c r="D9" s="27">
        <f t="shared" si="5"/>
        <v>43793.79546</v>
      </c>
      <c r="E9" s="28">
        <f t="shared" si="5"/>
        <v>51136.60874999999</v>
      </c>
      <c r="F9" s="28">
        <f t="shared" si="5"/>
        <v>55147.28415</v>
      </c>
      <c r="G9" s="28">
        <f t="shared" si="5"/>
        <v>56381.84912</v>
      </c>
      <c r="H9" s="28">
        <f t="shared" si="5"/>
        <v>59868.50671</v>
      </c>
      <c r="I9" s="28">
        <f t="shared" si="5"/>
        <v>76149.63</v>
      </c>
      <c r="J9" s="28">
        <f t="shared" si="5"/>
        <v>100556.4</v>
      </c>
      <c r="K9" s="28">
        <f t="shared" si="5"/>
        <v>136493.8</v>
      </c>
      <c r="L9" s="29">
        <f t="shared" si="5"/>
        <v>182510.3</v>
      </c>
      <c r="M9" s="28">
        <f t="shared" si="5"/>
        <v>178723</v>
      </c>
      <c r="N9" s="28">
        <f t="shared" si="5"/>
        <v>181494.6165</v>
      </c>
      <c r="O9" s="29">
        <f t="shared" si="5"/>
        <v>187476.50066000002</v>
      </c>
      <c r="P9" s="29">
        <f t="shared" si="5"/>
        <v>184007.58496</v>
      </c>
      <c r="Q9" s="28">
        <f t="shared" si="5"/>
        <v>189121.47608</v>
      </c>
      <c r="R9" s="30">
        <f t="shared" si="5"/>
        <v>202388.04462</v>
      </c>
      <c r="S9" s="29">
        <f t="shared" si="5"/>
        <v>192954.63157</v>
      </c>
      <c r="T9" s="29">
        <f t="shared" si="5"/>
        <v>195975.12888</v>
      </c>
      <c r="U9" s="29">
        <f t="shared" si="5"/>
        <v>200634.48911</v>
      </c>
      <c r="V9" s="28">
        <f t="shared" si="5"/>
        <v>199580.80933</v>
      </c>
      <c r="W9" s="29">
        <f t="shared" si="5"/>
        <v>202455.63009</v>
      </c>
      <c r="X9" s="28">
        <f t="shared" si="5"/>
        <v>210388.6</v>
      </c>
      <c r="Y9" s="28">
        <f t="shared" si="5"/>
        <v>207511.9</v>
      </c>
      <c r="Z9" s="28">
        <f t="shared" si="5"/>
        <v>217780.5</v>
      </c>
      <c r="AA9" s="28">
        <f t="shared" si="5"/>
        <v>222624.1</v>
      </c>
      <c r="AB9" s="28">
        <f t="shared" si="5"/>
        <v>223952.7</v>
      </c>
      <c r="AC9" s="28">
        <f t="shared" si="5"/>
        <v>224749.2</v>
      </c>
      <c r="AD9" s="28">
        <f t="shared" si="5"/>
        <v>219100.9</v>
      </c>
      <c r="AE9" s="28">
        <f t="shared" si="5"/>
        <v>223454.6</v>
      </c>
      <c r="AF9" s="28">
        <f t="shared" si="5"/>
        <v>218464.4</v>
      </c>
      <c r="AG9" s="28">
        <f t="shared" si="5"/>
        <v>222804.5</v>
      </c>
      <c r="AH9" s="28">
        <f t="shared" si="5"/>
        <v>225335.6</v>
      </c>
      <c r="AI9" s="28">
        <f t="shared" si="5"/>
        <v>227302</v>
      </c>
      <c r="AJ9" s="28">
        <f t="shared" si="5"/>
        <v>226841.9</v>
      </c>
      <c r="AK9" s="29">
        <f t="shared" si="5"/>
        <v>226822.3</v>
      </c>
      <c r="AL9" s="29">
        <f t="shared" si="5"/>
        <v>235942.1</v>
      </c>
      <c r="AM9" s="29">
        <f t="shared" si="5"/>
        <v>238452.66999999998</v>
      </c>
      <c r="AN9" s="29">
        <v>238986.6</v>
      </c>
      <c r="AO9" s="28">
        <f aca="true" t="shared" si="6" ref="AO9:AT9">AO11</f>
        <v>235516.09999999998</v>
      </c>
      <c r="AP9" s="30">
        <f t="shared" si="6"/>
        <v>239716.80000000002</v>
      </c>
      <c r="AQ9" s="31">
        <f t="shared" si="6"/>
        <v>237881.69999999998</v>
      </c>
      <c r="AR9" s="31">
        <f t="shared" si="6"/>
        <v>238895.5</v>
      </c>
      <c r="AS9" s="32">
        <f t="shared" si="6"/>
        <v>246545.9</v>
      </c>
      <c r="AT9" s="32">
        <f t="shared" si="6"/>
        <v>251459.30000000002</v>
      </c>
      <c r="AU9" s="31">
        <v>246739.2</v>
      </c>
      <c r="AV9" s="28">
        <f aca="true" t="shared" si="7" ref="AV9:BY9">AV11</f>
        <v>252179.8</v>
      </c>
      <c r="AW9" s="33">
        <f t="shared" si="7"/>
        <v>255987.19999999998</v>
      </c>
      <c r="AX9" s="33">
        <f t="shared" si="7"/>
        <v>259457.7</v>
      </c>
      <c r="AY9" s="33">
        <f t="shared" si="7"/>
        <v>254545.9</v>
      </c>
      <c r="AZ9" s="33">
        <f t="shared" si="7"/>
        <v>261542.1</v>
      </c>
      <c r="BA9" s="34">
        <f t="shared" si="7"/>
        <v>255580.2</v>
      </c>
      <c r="BB9" s="34">
        <f t="shared" si="7"/>
        <v>257060.7</v>
      </c>
      <c r="BC9" s="34">
        <f t="shared" si="7"/>
        <v>255082.86</v>
      </c>
      <c r="BD9" s="34">
        <f t="shared" si="7"/>
        <v>255443.6</v>
      </c>
      <c r="BE9" s="34">
        <f t="shared" si="7"/>
        <v>253959.2</v>
      </c>
      <c r="BF9" s="34">
        <f t="shared" si="7"/>
        <v>261718.59999999998</v>
      </c>
      <c r="BG9" s="34">
        <f t="shared" si="7"/>
        <v>265653.60000000003</v>
      </c>
      <c r="BH9" s="34">
        <f t="shared" si="7"/>
        <v>280763.8</v>
      </c>
      <c r="BI9" s="34">
        <f t="shared" si="7"/>
        <v>268239.7</v>
      </c>
      <c r="BJ9" s="34">
        <f t="shared" si="7"/>
        <v>272404.3</v>
      </c>
      <c r="BK9" s="34">
        <f t="shared" si="7"/>
        <v>268935.1</v>
      </c>
      <c r="BL9" s="34">
        <f t="shared" si="7"/>
        <v>265250.9</v>
      </c>
      <c r="BM9" s="34">
        <f t="shared" si="7"/>
        <v>266229.1</v>
      </c>
      <c r="BN9" s="34">
        <f t="shared" si="7"/>
        <v>273834.7</v>
      </c>
      <c r="BO9" s="34">
        <f t="shared" si="7"/>
        <v>268640.8</v>
      </c>
      <c r="BP9" s="34">
        <f t="shared" si="7"/>
        <v>270339.9</v>
      </c>
      <c r="BQ9" s="34">
        <f t="shared" si="7"/>
        <v>272131.4</v>
      </c>
      <c r="BR9" s="34">
        <f t="shared" si="7"/>
        <v>277077.8</v>
      </c>
      <c r="BS9" s="34">
        <f t="shared" si="7"/>
        <v>281841</v>
      </c>
      <c r="BT9" s="34">
        <f t="shared" si="7"/>
        <v>299142.6</v>
      </c>
      <c r="BU9" s="34">
        <f t="shared" si="7"/>
        <v>290246.1</v>
      </c>
      <c r="BV9" s="34">
        <f t="shared" si="7"/>
        <v>294597.57</v>
      </c>
      <c r="BW9" s="34">
        <f t="shared" si="7"/>
        <v>293582.39999999997</v>
      </c>
      <c r="BX9" s="34">
        <f t="shared" si="7"/>
        <v>297926.2</v>
      </c>
      <c r="BY9" s="34">
        <f t="shared" si="7"/>
        <v>306275.5</v>
      </c>
      <c r="BZ9" s="34">
        <f>BZ11</f>
        <v>302421.1</v>
      </c>
    </row>
    <row r="10" spans="1:78" ht="16.5" customHeight="1">
      <c r="A10" s="35" t="s">
        <v>3</v>
      </c>
      <c r="B10" s="36">
        <f aca="true" t="shared" si="8" ref="B10:AT10">B9/B63</f>
        <v>0.31222612718961384</v>
      </c>
      <c r="C10" s="36">
        <f t="shared" si="8"/>
        <v>0.28637305673123875</v>
      </c>
      <c r="D10" s="36">
        <f t="shared" si="8"/>
        <v>0.2880848553780169</v>
      </c>
      <c r="E10" s="36">
        <f t="shared" si="8"/>
        <v>0.2590144880958893</v>
      </c>
      <c r="F10" s="36">
        <f t="shared" si="8"/>
        <v>0.22293620900844086</v>
      </c>
      <c r="G10" s="36">
        <f t="shared" si="8"/>
        <v>0.19512355615726484</v>
      </c>
      <c r="H10" s="36">
        <f t="shared" si="8"/>
        <v>0.17370782673815163</v>
      </c>
      <c r="I10" s="36">
        <f t="shared" si="8"/>
        <v>0.18304900304514254</v>
      </c>
      <c r="J10" s="36">
        <f t="shared" si="8"/>
        <v>0.19175928085406876</v>
      </c>
      <c r="K10" s="36">
        <f t="shared" si="8"/>
        <v>0.2673608308972684</v>
      </c>
      <c r="L10" s="36">
        <f t="shared" si="8"/>
        <v>0.3418557693568417</v>
      </c>
      <c r="M10" s="36">
        <f t="shared" si="8"/>
        <v>0.3173912271354999</v>
      </c>
      <c r="N10" s="36">
        <f t="shared" si="8"/>
        <v>0.32231329515183804</v>
      </c>
      <c r="O10" s="36">
        <f t="shared" si="8"/>
        <v>0.33293642454271005</v>
      </c>
      <c r="P10" s="36">
        <f t="shared" si="8"/>
        <v>0.3267760343811046</v>
      </c>
      <c r="Q10" s="36">
        <f t="shared" si="8"/>
        <v>0.33585770925235303</v>
      </c>
      <c r="R10" s="36">
        <f t="shared" si="8"/>
        <v>0.359417589451252</v>
      </c>
      <c r="S10" s="36">
        <f t="shared" si="8"/>
        <v>0.3426649468478068</v>
      </c>
      <c r="T10" s="36">
        <f t="shared" si="8"/>
        <v>0.34802899818859884</v>
      </c>
      <c r="U10" s="36">
        <f t="shared" si="8"/>
        <v>0.3563034791511277</v>
      </c>
      <c r="V10" s="36">
        <f t="shared" si="8"/>
        <v>0.35443226661339017</v>
      </c>
      <c r="W10" s="36">
        <f t="shared" si="8"/>
        <v>0.35953761337240275</v>
      </c>
      <c r="X10" s="36">
        <f t="shared" si="8"/>
        <v>0.3723052856412262</v>
      </c>
      <c r="Y10" s="36">
        <f t="shared" si="8"/>
        <v>0.35459996582365</v>
      </c>
      <c r="Z10" s="36">
        <f t="shared" si="8"/>
        <v>0.37214712918660287</v>
      </c>
      <c r="AA10" s="36">
        <f t="shared" si="8"/>
        <v>0.380423957621326</v>
      </c>
      <c r="AB10" s="36">
        <f t="shared" si="8"/>
        <v>0.3826942925495557</v>
      </c>
      <c r="AC10" s="36">
        <f t="shared" si="8"/>
        <v>0.38405536568694465</v>
      </c>
      <c r="AD10" s="36">
        <f t="shared" si="8"/>
        <v>0.37440345181134654</v>
      </c>
      <c r="AE10" s="36">
        <f t="shared" si="8"/>
        <v>0.3818431305536569</v>
      </c>
      <c r="AF10" s="36">
        <f t="shared" si="8"/>
        <v>0.3733157894736842</v>
      </c>
      <c r="AG10" s="36">
        <f t="shared" si="8"/>
        <v>0.3807322282980178</v>
      </c>
      <c r="AH10" s="36">
        <f t="shared" si="8"/>
        <v>0.3850574162679426</v>
      </c>
      <c r="AI10" s="36">
        <f t="shared" si="8"/>
        <v>0.3884176349965824</v>
      </c>
      <c r="AJ10" s="37">
        <f t="shared" si="8"/>
        <v>0.3810118800672526</v>
      </c>
      <c r="AK10" s="38">
        <f t="shared" si="8"/>
        <v>0.3639055029680731</v>
      </c>
      <c r="AL10" s="38">
        <f t="shared" si="8"/>
        <v>0.3785369805871972</v>
      </c>
      <c r="AM10" s="38">
        <f t="shared" si="8"/>
        <v>0.3825648483876143</v>
      </c>
      <c r="AN10" s="38">
        <f t="shared" si="8"/>
        <v>0.38342146638857694</v>
      </c>
      <c r="AO10" s="39">
        <f t="shared" si="8"/>
        <v>0.377853521578694</v>
      </c>
      <c r="AP10" s="40">
        <f t="shared" si="8"/>
        <v>0.3828118811881188</v>
      </c>
      <c r="AQ10" s="41">
        <f t="shared" si="8"/>
        <v>0.37988134781220056</v>
      </c>
      <c r="AR10" s="41">
        <f t="shared" si="8"/>
        <v>0.38150031938677736</v>
      </c>
      <c r="AS10" s="41">
        <f t="shared" si="8"/>
        <v>0.3940951086956522</v>
      </c>
      <c r="AT10" s="41">
        <f t="shared" si="8"/>
        <v>0.40194900895140667</v>
      </c>
      <c r="AU10" s="42">
        <v>0.39440409207161103</v>
      </c>
      <c r="AV10" s="37">
        <f aca="true" t="shared" si="9" ref="AV10:BZ10">AV9/AV63</f>
        <v>0.39560346125850254</v>
      </c>
      <c r="AW10" s="43">
        <f t="shared" si="9"/>
        <v>0.38235053379400913</v>
      </c>
      <c r="AX10" s="43">
        <f t="shared" si="9"/>
        <v>0.38753418175582954</v>
      </c>
      <c r="AY10" s="43">
        <f t="shared" si="9"/>
        <v>0.38019776277906264</v>
      </c>
      <c r="AZ10" s="43">
        <f t="shared" si="9"/>
        <v>0.3906475071589756</v>
      </c>
      <c r="BA10" s="44">
        <f t="shared" si="9"/>
        <v>0.38174262579214746</v>
      </c>
      <c r="BB10" s="44">
        <f t="shared" si="9"/>
        <v>0.38395394716009884</v>
      </c>
      <c r="BC10" s="44">
        <f t="shared" si="9"/>
        <v>0.38099978312471283</v>
      </c>
      <c r="BD10" s="44">
        <f t="shared" si="9"/>
        <v>0.38153859573550297</v>
      </c>
      <c r="BE10" s="44">
        <f t="shared" si="9"/>
        <v>0.37932144920488026</v>
      </c>
      <c r="BF10" s="44">
        <f t="shared" si="9"/>
        <v>0.39091113311064285</v>
      </c>
      <c r="BG10" s="44">
        <f t="shared" si="9"/>
        <v>0.3967885728829418</v>
      </c>
      <c r="BH10" s="44">
        <f t="shared" si="9"/>
        <v>0.42057140974</v>
      </c>
      <c r="BI10" s="44">
        <f t="shared" si="9"/>
        <v>0.37766058547593256</v>
      </c>
      <c r="BJ10" s="44">
        <f t="shared" si="9"/>
        <v>0.3835240176012782</v>
      </c>
      <c r="BK10" s="44">
        <f t="shared" si="9"/>
        <v>0.3786396544621414</v>
      </c>
      <c r="BL10" s="44">
        <f t="shared" si="9"/>
        <v>0.3734525880845306</v>
      </c>
      <c r="BM10" s="44">
        <f t="shared" si="9"/>
        <v>0.37482981742348576</v>
      </c>
      <c r="BN10" s="44">
        <f t="shared" si="9"/>
        <v>0.3855379092864567</v>
      </c>
      <c r="BO10" s="44">
        <f t="shared" si="9"/>
        <v>0.3782253030059417</v>
      </c>
      <c r="BP10" s="44">
        <f t="shared" si="9"/>
        <v>0.38061750334311095</v>
      </c>
      <c r="BQ10" s="44">
        <f t="shared" si="9"/>
        <v>0.383139795676722</v>
      </c>
      <c r="BR10" s="44">
        <f t="shared" si="9"/>
        <v>0.3901039412524818</v>
      </c>
      <c r="BS10" s="44">
        <f t="shared" si="9"/>
        <v>0.39681015551062093</v>
      </c>
      <c r="BT10" s="44">
        <f t="shared" si="9"/>
        <v>0.4196725589225589</v>
      </c>
      <c r="BU10" s="44">
        <f t="shared" si="9"/>
        <v>0.383416248348745</v>
      </c>
      <c r="BV10" s="44">
        <f t="shared" si="9"/>
        <v>0.3891645574636724</v>
      </c>
      <c r="BW10" s="44">
        <f t="shared" si="9"/>
        <v>0.3878235138705416</v>
      </c>
      <c r="BX10" s="44">
        <f t="shared" si="9"/>
        <v>0.39356169088507265</v>
      </c>
      <c r="BY10" s="44">
        <f t="shared" si="9"/>
        <v>0.4045911492734478</v>
      </c>
      <c r="BZ10" s="44">
        <f t="shared" si="9"/>
        <v>0.39949947159841476</v>
      </c>
    </row>
    <row r="11" spans="1:78" ht="16.5" customHeight="1">
      <c r="A11" s="45" t="s">
        <v>4</v>
      </c>
      <c r="B11" s="46">
        <f aca="true" t="shared" si="10" ref="B11:AT11">B12+B13</f>
        <v>25285.50802</v>
      </c>
      <c r="C11" s="47">
        <f t="shared" si="10"/>
        <v>33776.441999999995</v>
      </c>
      <c r="D11" s="46">
        <f t="shared" si="10"/>
        <v>43793.79546</v>
      </c>
      <c r="E11" s="47">
        <f t="shared" si="10"/>
        <v>51136.60874999999</v>
      </c>
      <c r="F11" s="47">
        <f t="shared" si="10"/>
        <v>55147.28415</v>
      </c>
      <c r="G11" s="47">
        <f t="shared" si="10"/>
        <v>56381.84912</v>
      </c>
      <c r="H11" s="47">
        <f t="shared" si="10"/>
        <v>59868.50671</v>
      </c>
      <c r="I11" s="47">
        <f t="shared" si="10"/>
        <v>76149.63</v>
      </c>
      <c r="J11" s="47">
        <f t="shared" si="10"/>
        <v>100556.4</v>
      </c>
      <c r="K11" s="47">
        <f t="shared" si="10"/>
        <v>136493.8</v>
      </c>
      <c r="L11" s="48">
        <f t="shared" si="10"/>
        <v>182510.3</v>
      </c>
      <c r="M11" s="47">
        <f t="shared" si="10"/>
        <v>178723</v>
      </c>
      <c r="N11" s="47">
        <f t="shared" si="10"/>
        <v>181494.6165</v>
      </c>
      <c r="O11" s="48">
        <f t="shared" si="10"/>
        <v>187476.50066000002</v>
      </c>
      <c r="P11" s="47">
        <f t="shared" si="10"/>
        <v>184007.58496</v>
      </c>
      <c r="Q11" s="47">
        <f t="shared" si="10"/>
        <v>189121.47608</v>
      </c>
      <c r="R11" s="48">
        <f t="shared" si="10"/>
        <v>202388.04462</v>
      </c>
      <c r="S11" s="48">
        <f t="shared" si="10"/>
        <v>192954.63157</v>
      </c>
      <c r="T11" s="48">
        <f t="shared" si="10"/>
        <v>195975.12888</v>
      </c>
      <c r="U11" s="48">
        <f t="shared" si="10"/>
        <v>200634.48911</v>
      </c>
      <c r="V11" s="47">
        <f t="shared" si="10"/>
        <v>199580.80933</v>
      </c>
      <c r="W11" s="48">
        <f t="shared" si="10"/>
        <v>202455.63009</v>
      </c>
      <c r="X11" s="47">
        <f t="shared" si="10"/>
        <v>210388.6</v>
      </c>
      <c r="Y11" s="47">
        <f t="shared" si="10"/>
        <v>207511.9</v>
      </c>
      <c r="Z11" s="47">
        <f t="shared" si="10"/>
        <v>217780.5</v>
      </c>
      <c r="AA11" s="47">
        <f t="shared" si="10"/>
        <v>222624.1</v>
      </c>
      <c r="AB11" s="47">
        <f t="shared" si="10"/>
        <v>223952.7</v>
      </c>
      <c r="AC11" s="47">
        <f t="shared" si="10"/>
        <v>224749.2</v>
      </c>
      <c r="AD11" s="47">
        <f t="shared" si="10"/>
        <v>219100.9</v>
      </c>
      <c r="AE11" s="47">
        <f t="shared" si="10"/>
        <v>223454.6</v>
      </c>
      <c r="AF11" s="47">
        <f t="shared" si="10"/>
        <v>218464.4</v>
      </c>
      <c r="AG11" s="47">
        <f t="shared" si="10"/>
        <v>222804.5</v>
      </c>
      <c r="AH11" s="47">
        <f t="shared" si="10"/>
        <v>225335.6</v>
      </c>
      <c r="AI11" s="47">
        <f t="shared" si="10"/>
        <v>227302</v>
      </c>
      <c r="AJ11" s="47">
        <f t="shared" si="10"/>
        <v>226841.9</v>
      </c>
      <c r="AK11" s="48">
        <f t="shared" si="10"/>
        <v>226822.3</v>
      </c>
      <c r="AL11" s="48">
        <f t="shared" si="10"/>
        <v>235942.1</v>
      </c>
      <c r="AM11" s="48">
        <f t="shared" si="10"/>
        <v>238452.66999999998</v>
      </c>
      <c r="AN11" s="48">
        <f t="shared" si="10"/>
        <v>238986.63999999998</v>
      </c>
      <c r="AO11" s="47">
        <f t="shared" si="10"/>
        <v>235516.09999999998</v>
      </c>
      <c r="AP11" s="49">
        <f t="shared" si="10"/>
        <v>239716.80000000002</v>
      </c>
      <c r="AQ11" s="50">
        <f t="shared" si="10"/>
        <v>237881.69999999998</v>
      </c>
      <c r="AR11" s="50">
        <f t="shared" si="10"/>
        <v>238895.5</v>
      </c>
      <c r="AS11" s="48">
        <f t="shared" si="10"/>
        <v>246545.9</v>
      </c>
      <c r="AT11" s="48">
        <f t="shared" si="10"/>
        <v>251459.30000000002</v>
      </c>
      <c r="AU11" s="50">
        <v>246739.2</v>
      </c>
      <c r="AV11" s="47">
        <f aca="true" t="shared" si="11" ref="AV11:BZ11">AV12+AV13</f>
        <v>252179.8</v>
      </c>
      <c r="AW11" s="47">
        <f t="shared" si="11"/>
        <v>255987.19999999998</v>
      </c>
      <c r="AX11" s="47">
        <f t="shared" si="11"/>
        <v>259457.7</v>
      </c>
      <c r="AY11" s="47">
        <f t="shared" si="11"/>
        <v>254545.9</v>
      </c>
      <c r="AZ11" s="47">
        <f t="shared" si="11"/>
        <v>261542.1</v>
      </c>
      <c r="BA11" s="51">
        <f t="shared" si="11"/>
        <v>255580.2</v>
      </c>
      <c r="BB11" s="51">
        <f t="shared" si="11"/>
        <v>257060.7</v>
      </c>
      <c r="BC11" s="51">
        <f t="shared" si="11"/>
        <v>255082.86</v>
      </c>
      <c r="BD11" s="51">
        <f t="shared" si="11"/>
        <v>255443.6</v>
      </c>
      <c r="BE11" s="51">
        <f t="shared" si="11"/>
        <v>253959.2</v>
      </c>
      <c r="BF11" s="51">
        <f t="shared" si="11"/>
        <v>261718.59999999998</v>
      </c>
      <c r="BG11" s="51">
        <f t="shared" si="11"/>
        <v>265653.60000000003</v>
      </c>
      <c r="BH11" s="51">
        <f t="shared" si="11"/>
        <v>280763.8</v>
      </c>
      <c r="BI11" s="51">
        <f t="shared" si="11"/>
        <v>268239.7</v>
      </c>
      <c r="BJ11" s="51">
        <f t="shared" si="11"/>
        <v>272404.3</v>
      </c>
      <c r="BK11" s="51">
        <f t="shared" si="11"/>
        <v>268935.1</v>
      </c>
      <c r="BL11" s="51">
        <f t="shared" si="11"/>
        <v>265250.9</v>
      </c>
      <c r="BM11" s="51">
        <f t="shared" si="11"/>
        <v>266229.1</v>
      </c>
      <c r="BN11" s="51">
        <f t="shared" si="11"/>
        <v>273834.7</v>
      </c>
      <c r="BO11" s="51">
        <f t="shared" si="11"/>
        <v>268640.8</v>
      </c>
      <c r="BP11" s="51">
        <f t="shared" si="11"/>
        <v>270339.9</v>
      </c>
      <c r="BQ11" s="51">
        <f t="shared" si="11"/>
        <v>272131.4</v>
      </c>
      <c r="BR11" s="51">
        <f t="shared" si="11"/>
        <v>277077.8</v>
      </c>
      <c r="BS11" s="51">
        <f t="shared" si="11"/>
        <v>281841</v>
      </c>
      <c r="BT11" s="51">
        <f t="shared" si="11"/>
        <v>299142.6</v>
      </c>
      <c r="BU11" s="51">
        <f t="shared" si="11"/>
        <v>290246.1</v>
      </c>
      <c r="BV11" s="51">
        <f t="shared" si="11"/>
        <v>294597.57</v>
      </c>
      <c r="BW11" s="51">
        <f t="shared" si="11"/>
        <v>293582.39999999997</v>
      </c>
      <c r="BX11" s="51">
        <f t="shared" si="11"/>
        <v>297926.2</v>
      </c>
      <c r="BY11" s="51">
        <f t="shared" si="11"/>
        <v>306275.5</v>
      </c>
      <c r="BZ11" s="51">
        <f t="shared" si="11"/>
        <v>302421.1</v>
      </c>
    </row>
    <row r="12" spans="1:78" ht="16.5" customHeight="1">
      <c r="A12" s="52" t="s">
        <v>5</v>
      </c>
      <c r="B12" s="53">
        <f>7370.4+5320.8*B62</f>
        <v>20203.10544</v>
      </c>
      <c r="C12" s="54">
        <f>9122.8+6232.5*C62</f>
        <v>26499.63325</v>
      </c>
      <c r="D12" s="55">
        <f>10797.6+6638.3*D62</f>
        <v>33977.87977</v>
      </c>
      <c r="E12" s="56">
        <f>10714.3+7399.4*E62</f>
        <v>41138.412979999994</v>
      </c>
      <c r="F12" s="57">
        <f>12166.1+7684*F62</f>
        <v>42643.1492</v>
      </c>
      <c r="G12" s="58">
        <f>13877.9+7972.1*G62</f>
        <v>43192.10891</v>
      </c>
      <c r="H12" s="57">
        <f>24243.7+7677*H62</f>
        <v>50205.0109</v>
      </c>
      <c r="I12" s="57">
        <f>39918.3+27222.67-I5</f>
        <v>67140.97</v>
      </c>
      <c r="J12" s="58">
        <f>59429+32513</f>
        <v>91942</v>
      </c>
      <c r="K12" s="58">
        <f>80290.2+46281.5-K5</f>
        <v>126571.7</v>
      </c>
      <c r="L12" s="59">
        <v>167632.5</v>
      </c>
      <c r="M12" s="60">
        <v>164097.3</v>
      </c>
      <c r="N12" s="60">
        <v>166403.0065</v>
      </c>
      <c r="O12" s="59">
        <v>173059.185227</v>
      </c>
      <c r="P12" s="59">
        <v>169368.79232</v>
      </c>
      <c r="Q12" s="61">
        <v>174565.0508</v>
      </c>
      <c r="R12" s="62">
        <v>191348.63806</v>
      </c>
      <c r="S12" s="63">
        <v>182368.50723</v>
      </c>
      <c r="T12" s="59">
        <v>185380.22372</v>
      </c>
      <c r="U12" s="59">
        <v>189501.49607</v>
      </c>
      <c r="V12" s="61">
        <v>188684.53431</v>
      </c>
      <c r="W12" s="64">
        <v>191327.56624</v>
      </c>
      <c r="X12" s="60">
        <v>199284.6</v>
      </c>
      <c r="Y12" s="59">
        <v>196276.1</v>
      </c>
      <c r="Z12" s="65">
        <v>206478.8</v>
      </c>
      <c r="AA12" s="65">
        <v>211163.4</v>
      </c>
      <c r="AB12" s="65">
        <v>212311.1</v>
      </c>
      <c r="AC12" s="65">
        <v>212863.5</v>
      </c>
      <c r="AD12" s="65">
        <v>207204.5</v>
      </c>
      <c r="AE12" s="65">
        <v>211024.2</v>
      </c>
      <c r="AF12" s="65">
        <v>206211.1</v>
      </c>
      <c r="AG12" s="65">
        <v>209685.8</v>
      </c>
      <c r="AH12" s="65">
        <v>212617.9</v>
      </c>
      <c r="AI12" s="65">
        <v>214531.3</v>
      </c>
      <c r="AJ12" s="60">
        <v>213731</v>
      </c>
      <c r="AK12" s="59">
        <v>213807.4</v>
      </c>
      <c r="AL12" s="59">
        <v>222833.7</v>
      </c>
      <c r="AM12" s="59">
        <v>225078.03</v>
      </c>
      <c r="AN12" s="59">
        <v>225762.84</v>
      </c>
      <c r="AO12" s="60">
        <v>222026.3</v>
      </c>
      <c r="AP12" s="64">
        <v>225866.7</v>
      </c>
      <c r="AQ12" s="66">
        <v>224082.8</v>
      </c>
      <c r="AR12" s="66">
        <v>224881.8</v>
      </c>
      <c r="AS12" s="67">
        <v>232523.3</v>
      </c>
      <c r="AT12" s="67">
        <v>237446.7</v>
      </c>
      <c r="AU12" s="66">
        <v>232649</v>
      </c>
      <c r="AV12" s="60">
        <f>237972-AV5</f>
        <v>237972</v>
      </c>
      <c r="AW12" s="68">
        <v>241741.9</v>
      </c>
      <c r="AX12" s="68">
        <v>245144</v>
      </c>
      <c r="AY12" s="68">
        <v>240392</v>
      </c>
      <c r="AZ12" s="68">
        <v>247280</v>
      </c>
      <c r="BA12" s="69">
        <v>241319.6</v>
      </c>
      <c r="BB12" s="69">
        <v>242841.6</v>
      </c>
      <c r="BC12" s="69">
        <v>240617.93</v>
      </c>
      <c r="BD12" s="69">
        <v>240858.5</v>
      </c>
      <c r="BE12" s="69">
        <v>239331.5</v>
      </c>
      <c r="BF12" s="69">
        <v>246834.3</v>
      </c>
      <c r="BG12" s="69">
        <v>250623.2</v>
      </c>
      <c r="BH12" s="69">
        <v>265448.5</v>
      </c>
      <c r="BI12" s="69">
        <v>253083.55</v>
      </c>
      <c r="BJ12" s="69">
        <v>257157.2</v>
      </c>
      <c r="BK12" s="69">
        <v>255013.9</v>
      </c>
      <c r="BL12" s="69">
        <v>251129.6</v>
      </c>
      <c r="BM12" s="69">
        <v>251868</v>
      </c>
      <c r="BN12" s="69">
        <v>259293.1</v>
      </c>
      <c r="BO12" s="69">
        <v>254116</v>
      </c>
      <c r="BP12" s="69">
        <v>255540.2</v>
      </c>
      <c r="BQ12" s="69">
        <v>257186.7</v>
      </c>
      <c r="BR12" s="69">
        <v>261807.7</v>
      </c>
      <c r="BS12" s="69">
        <v>266338.1</v>
      </c>
      <c r="BT12" s="69">
        <f>283579.5-BT5</f>
        <v>283579.5</v>
      </c>
      <c r="BU12" s="69">
        <v>274659.1</v>
      </c>
      <c r="BV12" s="69">
        <v>279003.93</v>
      </c>
      <c r="BW12" s="69">
        <v>277755.1</v>
      </c>
      <c r="BX12" s="69">
        <v>281688.2</v>
      </c>
      <c r="BY12" s="69">
        <v>289635.5</v>
      </c>
      <c r="BZ12" s="69">
        <v>285648.1</v>
      </c>
    </row>
    <row r="13" spans="1:78" ht="16.5" customHeight="1">
      <c r="A13" s="52" t="s">
        <v>6</v>
      </c>
      <c r="B13" s="53">
        <f>82.5+2073.1*B62</f>
        <v>5082.40258</v>
      </c>
      <c r="C13" s="54">
        <f>62.6+2587.5*C62</f>
        <v>7276.80875</v>
      </c>
      <c r="D13" s="55">
        <f>963.6+2535.1*D62</f>
        <v>9815.91569</v>
      </c>
      <c r="E13" s="56">
        <f>795.8+2238.1*E62</f>
        <v>9998.195769999998</v>
      </c>
      <c r="F13" s="57">
        <f>2245.3+2586.5*F62</f>
        <v>12504.13495</v>
      </c>
      <c r="G13" s="58">
        <f>2250+2975.1*G62</f>
        <v>13189.74021</v>
      </c>
      <c r="H13" s="57">
        <f>1583.6+2389.3*H62</f>
        <v>9663.49581</v>
      </c>
      <c r="I13" s="57">
        <f>1956.1+7052.56</f>
        <v>9008.66</v>
      </c>
      <c r="J13" s="58">
        <f>2094.1+6520.3</f>
        <v>8614.4</v>
      </c>
      <c r="K13" s="58">
        <f>4059+5863.1</f>
        <v>9922.1</v>
      </c>
      <c r="L13" s="59">
        <v>14877.8</v>
      </c>
      <c r="M13" s="60">
        <v>14625.7</v>
      </c>
      <c r="N13" s="60">
        <v>15091.61</v>
      </c>
      <c r="O13" s="59">
        <v>14417.315433</v>
      </c>
      <c r="P13" s="59">
        <v>14638.79264</v>
      </c>
      <c r="Q13" s="61">
        <v>14556.42528</v>
      </c>
      <c r="R13" s="62">
        <v>11039.40656</v>
      </c>
      <c r="S13" s="63">
        <v>10586.12434</v>
      </c>
      <c r="T13" s="59">
        <v>10594.90516</v>
      </c>
      <c r="U13" s="59">
        <v>11132.99304</v>
      </c>
      <c r="V13" s="61">
        <v>10896.27502</v>
      </c>
      <c r="W13" s="64">
        <v>11128.06385</v>
      </c>
      <c r="X13" s="60">
        <v>11104</v>
      </c>
      <c r="Y13" s="59">
        <v>11235.8</v>
      </c>
      <c r="Z13" s="65">
        <v>11301.7</v>
      </c>
      <c r="AA13" s="65">
        <v>11460.7</v>
      </c>
      <c r="AB13" s="65">
        <v>11641.6</v>
      </c>
      <c r="AC13" s="65">
        <v>11885.7</v>
      </c>
      <c r="AD13" s="65">
        <v>11896.4</v>
      </c>
      <c r="AE13" s="65">
        <v>12430.4</v>
      </c>
      <c r="AF13" s="65">
        <v>12253.3</v>
      </c>
      <c r="AG13" s="65">
        <v>13118.7</v>
      </c>
      <c r="AH13" s="65">
        <v>12717.7</v>
      </c>
      <c r="AI13" s="65">
        <v>12770.7</v>
      </c>
      <c r="AJ13" s="60">
        <v>13110.9</v>
      </c>
      <c r="AK13" s="59">
        <v>13014.9</v>
      </c>
      <c r="AL13" s="59">
        <v>13108.4</v>
      </c>
      <c r="AM13" s="59">
        <v>13374.64</v>
      </c>
      <c r="AN13" s="59">
        <v>13223.8</v>
      </c>
      <c r="AO13" s="60">
        <v>13489.8</v>
      </c>
      <c r="AP13" s="64">
        <v>13850.1</v>
      </c>
      <c r="AQ13" s="65">
        <v>13798.9</v>
      </c>
      <c r="AR13" s="65">
        <v>14013.7</v>
      </c>
      <c r="AS13" s="59">
        <v>14022.6</v>
      </c>
      <c r="AT13" s="59">
        <v>14012.6</v>
      </c>
      <c r="AU13" s="65">
        <v>14090.2</v>
      </c>
      <c r="AV13" s="60">
        <v>14207.8</v>
      </c>
      <c r="AW13" s="60">
        <v>14245.3</v>
      </c>
      <c r="AX13" s="60">
        <v>14313.7</v>
      </c>
      <c r="AY13" s="60">
        <v>14153.9</v>
      </c>
      <c r="AZ13" s="60">
        <v>14262.1</v>
      </c>
      <c r="BA13" s="70">
        <v>14260.6</v>
      </c>
      <c r="BB13" s="70">
        <v>14219.1</v>
      </c>
      <c r="BC13" s="70">
        <v>14464.93</v>
      </c>
      <c r="BD13" s="70">
        <v>14585.1</v>
      </c>
      <c r="BE13" s="70">
        <v>14627.7</v>
      </c>
      <c r="BF13" s="70">
        <v>14884.3</v>
      </c>
      <c r="BG13" s="70">
        <v>15030.4</v>
      </c>
      <c r="BH13" s="70">
        <v>15315.3</v>
      </c>
      <c r="BI13" s="70">
        <v>15156.15</v>
      </c>
      <c r="BJ13" s="70">
        <v>15247.1</v>
      </c>
      <c r="BK13" s="70">
        <v>13921.2</v>
      </c>
      <c r="BL13" s="70">
        <v>14121.3</v>
      </c>
      <c r="BM13" s="70">
        <v>14361.1</v>
      </c>
      <c r="BN13" s="70">
        <v>14541.6</v>
      </c>
      <c r="BO13" s="70">
        <v>14524.8</v>
      </c>
      <c r="BP13" s="70">
        <v>14799.7</v>
      </c>
      <c r="BQ13" s="70">
        <v>14944.7</v>
      </c>
      <c r="BR13" s="70">
        <v>15270.1</v>
      </c>
      <c r="BS13" s="70">
        <v>15502.9</v>
      </c>
      <c r="BT13" s="70">
        <v>15563.1</v>
      </c>
      <c r="BU13" s="70">
        <v>15587</v>
      </c>
      <c r="BV13" s="70">
        <v>15593.64</v>
      </c>
      <c r="BW13" s="70">
        <v>15827.3</v>
      </c>
      <c r="BX13" s="70">
        <v>16238</v>
      </c>
      <c r="BY13" s="70">
        <v>16640</v>
      </c>
      <c r="BZ13" s="70">
        <v>16773</v>
      </c>
    </row>
    <row r="14" spans="1:78" ht="16.5" customHeight="1" hidden="1">
      <c r="A14" s="45" t="s">
        <v>7</v>
      </c>
      <c r="B14" s="71">
        <f aca="true" t="shared" si="12" ref="B14:AT14">SUM(B15:B17)</f>
        <v>25285.5</v>
      </c>
      <c r="C14" s="72">
        <f t="shared" si="12"/>
        <v>33776.4</v>
      </c>
      <c r="D14" s="71">
        <f t="shared" si="12"/>
        <v>43793.8</v>
      </c>
      <c r="E14" s="72">
        <f t="shared" si="12"/>
        <v>51136.6</v>
      </c>
      <c r="F14" s="72">
        <f t="shared" si="12"/>
        <v>55147.299999999996</v>
      </c>
      <c r="G14" s="72">
        <f t="shared" si="12"/>
        <v>56381.8</v>
      </c>
      <c r="H14" s="72">
        <f t="shared" si="12"/>
        <v>59868.5</v>
      </c>
      <c r="I14" s="72">
        <f t="shared" si="12"/>
        <v>76149.6</v>
      </c>
      <c r="J14" s="72">
        <f t="shared" si="12"/>
        <v>100556.4</v>
      </c>
      <c r="K14" s="72">
        <f t="shared" si="12"/>
        <v>136493.8</v>
      </c>
      <c r="L14" s="73">
        <f t="shared" si="12"/>
        <v>182510.3</v>
      </c>
      <c r="M14" s="72">
        <f t="shared" si="12"/>
        <v>178723.03448</v>
      </c>
      <c r="N14" s="72">
        <f t="shared" si="12"/>
        <v>181494.6165</v>
      </c>
      <c r="O14" s="73">
        <f t="shared" si="12"/>
        <v>187476.541801</v>
      </c>
      <c r="P14" s="72">
        <f t="shared" si="12"/>
        <v>184007.58496</v>
      </c>
      <c r="Q14" s="72">
        <f t="shared" si="12"/>
        <v>189121.47608</v>
      </c>
      <c r="R14" s="73">
        <f t="shared" si="12"/>
        <v>202388.04462</v>
      </c>
      <c r="S14" s="73">
        <f t="shared" si="12"/>
        <v>192954.63157</v>
      </c>
      <c r="T14" s="73">
        <f t="shared" si="12"/>
        <v>195975.12888</v>
      </c>
      <c r="U14" s="73">
        <f t="shared" si="12"/>
        <v>200634.5</v>
      </c>
      <c r="V14" s="72">
        <f t="shared" si="12"/>
        <v>199580.80933</v>
      </c>
      <c r="W14" s="73">
        <f t="shared" si="12"/>
        <v>201455.63009</v>
      </c>
      <c r="X14" s="72">
        <f t="shared" si="12"/>
        <v>210388.6</v>
      </c>
      <c r="Y14" s="72">
        <f t="shared" si="12"/>
        <v>207511.9</v>
      </c>
      <c r="Z14" s="72">
        <f t="shared" si="12"/>
        <v>217778.5</v>
      </c>
      <c r="AA14" s="72">
        <f t="shared" si="12"/>
        <v>222624.1</v>
      </c>
      <c r="AB14" s="72">
        <f t="shared" si="12"/>
        <v>223952.7</v>
      </c>
      <c r="AC14" s="72">
        <f t="shared" si="12"/>
        <v>224749.19999999998</v>
      </c>
      <c r="AD14" s="72">
        <f t="shared" si="12"/>
        <v>219100.90000000002</v>
      </c>
      <c r="AE14" s="72">
        <f t="shared" si="12"/>
        <v>223454.59999999998</v>
      </c>
      <c r="AF14" s="72">
        <f t="shared" si="12"/>
        <v>218464.4</v>
      </c>
      <c r="AG14" s="72">
        <f t="shared" si="12"/>
        <v>222804.6</v>
      </c>
      <c r="AH14" s="72">
        <f t="shared" si="12"/>
        <v>225335.58000000002</v>
      </c>
      <c r="AI14" s="72">
        <f t="shared" si="12"/>
        <v>227302</v>
      </c>
      <c r="AJ14" s="72">
        <f t="shared" si="12"/>
        <v>226841.89999999997</v>
      </c>
      <c r="AK14" s="73">
        <f t="shared" si="12"/>
        <v>226822.3</v>
      </c>
      <c r="AL14" s="73">
        <f t="shared" si="12"/>
        <v>235942.1</v>
      </c>
      <c r="AM14" s="73">
        <f t="shared" si="12"/>
        <v>238452.68</v>
      </c>
      <c r="AN14" s="73">
        <f t="shared" si="12"/>
        <v>238986.6</v>
      </c>
      <c r="AO14" s="72">
        <f t="shared" si="12"/>
        <v>235516.08000000002</v>
      </c>
      <c r="AP14" s="74">
        <f t="shared" si="12"/>
        <v>239716.8</v>
      </c>
      <c r="AQ14" s="75">
        <f t="shared" si="12"/>
        <v>237881.7</v>
      </c>
      <c r="AR14" s="75">
        <f t="shared" si="12"/>
        <v>238895.48</v>
      </c>
      <c r="AS14" s="73">
        <f t="shared" si="12"/>
        <v>246545.90000000002</v>
      </c>
      <c r="AT14" s="73">
        <f t="shared" si="12"/>
        <v>251459.3</v>
      </c>
      <c r="AU14" s="75">
        <v>246739.2</v>
      </c>
      <c r="AV14" s="72">
        <f aca="true" t="shared" si="13" ref="AV14:BU14">SUM(AV15:AV17)</f>
        <v>252179.75</v>
      </c>
      <c r="AW14" s="72">
        <f t="shared" si="13"/>
        <v>255987.19999999998</v>
      </c>
      <c r="AX14" s="72">
        <f t="shared" si="13"/>
        <v>259457.7</v>
      </c>
      <c r="AY14" s="72">
        <f t="shared" si="13"/>
        <v>254545.9</v>
      </c>
      <c r="AZ14" s="72">
        <f t="shared" si="13"/>
        <v>261542.09999999998</v>
      </c>
      <c r="BA14" s="76">
        <f t="shared" si="13"/>
        <v>255580.18000000002</v>
      </c>
      <c r="BB14" s="76">
        <f t="shared" si="13"/>
        <v>257060.7</v>
      </c>
      <c r="BC14" s="76">
        <f t="shared" si="13"/>
        <v>255082.9</v>
      </c>
      <c r="BD14" s="76">
        <f t="shared" si="13"/>
        <v>255443.58</v>
      </c>
      <c r="BE14" s="76">
        <f t="shared" si="13"/>
        <v>253959.2</v>
      </c>
      <c r="BF14" s="76">
        <f t="shared" si="13"/>
        <v>261718.6</v>
      </c>
      <c r="BG14" s="76">
        <f t="shared" si="13"/>
        <v>265653.6</v>
      </c>
      <c r="BH14" s="76">
        <f t="shared" si="13"/>
        <v>280763.8</v>
      </c>
      <c r="BI14" s="76">
        <f t="shared" si="13"/>
        <v>268239.7</v>
      </c>
      <c r="BJ14" s="76">
        <f t="shared" si="13"/>
        <v>272404.3</v>
      </c>
      <c r="BK14" s="76">
        <f t="shared" si="13"/>
        <v>268935.1</v>
      </c>
      <c r="BL14" s="76">
        <f t="shared" si="13"/>
        <v>265250.9</v>
      </c>
      <c r="BM14" s="76">
        <f t="shared" si="13"/>
        <v>266229.1</v>
      </c>
      <c r="BN14" s="76">
        <f t="shared" si="13"/>
        <v>273834.66</v>
      </c>
      <c r="BO14" s="76">
        <f t="shared" si="13"/>
        <v>268640.80000000005</v>
      </c>
      <c r="BP14" s="76">
        <f t="shared" si="13"/>
        <v>270339.9</v>
      </c>
      <c r="BQ14" s="76">
        <f t="shared" si="13"/>
        <v>272131.4</v>
      </c>
      <c r="BR14" s="76">
        <f t="shared" si="13"/>
        <v>277077.8</v>
      </c>
      <c r="BS14" s="76">
        <f t="shared" si="13"/>
        <v>281841</v>
      </c>
      <c r="BT14" s="76">
        <f t="shared" si="13"/>
        <v>299142.60000000003</v>
      </c>
      <c r="BU14" s="76">
        <f t="shared" si="13"/>
        <v>290246.1</v>
      </c>
      <c r="BV14" s="76">
        <f>SUM(BV15:BV17)</f>
        <v>294597.60000000003</v>
      </c>
      <c r="BW14" s="76">
        <f>SUM(BW15:BW17)</f>
        <v>293582.4</v>
      </c>
      <c r="BX14" s="76">
        <f>SUM(BX15:BX17)</f>
        <v>297926.2</v>
      </c>
      <c r="BY14" s="76">
        <f>SUM(BY15:BY17)</f>
        <v>306275.5</v>
      </c>
      <c r="BZ14" s="76">
        <f>SUM(BZ15:BZ17)</f>
        <v>302421.1</v>
      </c>
    </row>
    <row r="15" spans="1:78" ht="16.5" customHeight="1" hidden="1">
      <c r="A15" s="52" t="s">
        <v>8</v>
      </c>
      <c r="B15" s="53">
        <v>8783.5</v>
      </c>
      <c r="C15" s="54">
        <v>11705.8</v>
      </c>
      <c r="D15" s="55">
        <v>14921.6</v>
      </c>
      <c r="E15" s="56">
        <v>17372.3</v>
      </c>
      <c r="F15" s="57">
        <v>16851.6</v>
      </c>
      <c r="G15" s="58">
        <v>17779.9</v>
      </c>
      <c r="H15" s="57">
        <v>15774.3</v>
      </c>
      <c r="I15" s="57">
        <v>16207.6</v>
      </c>
      <c r="J15" s="58">
        <v>20533.5</v>
      </c>
      <c r="K15" s="58">
        <v>34634.1</v>
      </c>
      <c r="L15" s="59">
        <v>52719.3</v>
      </c>
      <c r="M15" s="60">
        <v>52058.7015</v>
      </c>
      <c r="N15" s="60">
        <v>51342.915</v>
      </c>
      <c r="O15" s="59">
        <v>54745.91729</v>
      </c>
      <c r="P15" s="59">
        <v>53653.32896</v>
      </c>
      <c r="Q15" s="61">
        <v>54500.46456</v>
      </c>
      <c r="R15" s="62">
        <v>57926.7221</v>
      </c>
      <c r="S15" s="63">
        <v>58241.36856</v>
      </c>
      <c r="T15" s="59">
        <v>57800.84184</v>
      </c>
      <c r="U15" s="59">
        <v>60285.8</v>
      </c>
      <c r="V15" s="61">
        <v>59739.77207</v>
      </c>
      <c r="W15" s="64">
        <v>60942.40908</v>
      </c>
      <c r="X15" s="60">
        <v>63551.4</v>
      </c>
      <c r="Y15" s="59">
        <v>63759.6</v>
      </c>
      <c r="Z15" s="65">
        <v>63210.8</v>
      </c>
      <c r="AA15" s="65">
        <v>63501.3</v>
      </c>
      <c r="AB15" s="65">
        <v>63785.5</v>
      </c>
      <c r="AC15" s="65">
        <v>65747.4</v>
      </c>
      <c r="AD15" s="65">
        <v>66066.9</v>
      </c>
      <c r="AE15" s="65">
        <v>68159</v>
      </c>
      <c r="AF15" s="65">
        <v>65938.6</v>
      </c>
      <c r="AG15" s="65">
        <v>66701.4</v>
      </c>
      <c r="AH15" s="65">
        <v>66735.24</v>
      </c>
      <c r="AI15" s="65">
        <v>66895.5</v>
      </c>
      <c r="AJ15" s="60">
        <v>65786.4</v>
      </c>
      <c r="AK15" s="59">
        <v>64322</v>
      </c>
      <c r="AL15" s="59">
        <v>64262.7</v>
      </c>
      <c r="AM15" s="59">
        <v>64413.6</v>
      </c>
      <c r="AN15" s="59">
        <v>62899.5</v>
      </c>
      <c r="AO15" s="60">
        <v>62895.64</v>
      </c>
      <c r="AP15" s="64">
        <v>63986.9</v>
      </c>
      <c r="AQ15" s="65">
        <v>62932.7</v>
      </c>
      <c r="AR15" s="65">
        <v>64054.4</v>
      </c>
      <c r="AS15" s="59">
        <v>63505.4</v>
      </c>
      <c r="AT15" s="59">
        <v>66173.2</v>
      </c>
      <c r="AU15" s="65">
        <v>65419.3</v>
      </c>
      <c r="AV15" s="60">
        <v>65415.4</v>
      </c>
      <c r="AW15" s="60">
        <v>65667.4</v>
      </c>
      <c r="AX15" s="60">
        <v>64661</v>
      </c>
      <c r="AY15" s="60">
        <v>63261.7</v>
      </c>
      <c r="AZ15" s="60">
        <v>62967.7</v>
      </c>
      <c r="BA15" s="70">
        <v>61648.14</v>
      </c>
      <c r="BB15" s="70">
        <v>62094.9</v>
      </c>
      <c r="BC15" s="70">
        <v>62547.7</v>
      </c>
      <c r="BD15" s="70">
        <v>61600.34</v>
      </c>
      <c r="BE15" s="70">
        <v>60965.5</v>
      </c>
      <c r="BF15" s="70">
        <v>60861.5</v>
      </c>
      <c r="BG15" s="70">
        <v>60026.8</v>
      </c>
      <c r="BH15" s="70">
        <v>60926.1</v>
      </c>
      <c r="BI15" s="70">
        <v>53950.7</v>
      </c>
      <c r="BJ15" s="70">
        <v>53033.5</v>
      </c>
      <c r="BK15" s="70">
        <v>51331</v>
      </c>
      <c r="BL15" s="70">
        <v>50947</v>
      </c>
      <c r="BM15" s="70">
        <v>51077.3</v>
      </c>
      <c r="BN15" s="70">
        <v>54418.33</v>
      </c>
      <c r="BO15" s="70">
        <v>53967.3</v>
      </c>
      <c r="BP15" s="70">
        <v>53937.3</v>
      </c>
      <c r="BQ15" s="70">
        <v>53478.3</v>
      </c>
      <c r="BR15" s="70">
        <v>53572.4</v>
      </c>
      <c r="BS15" s="70">
        <v>53627.7</v>
      </c>
      <c r="BT15" s="70">
        <v>55094.5</v>
      </c>
      <c r="BU15" s="70">
        <v>55098.5</v>
      </c>
      <c r="BV15" s="70">
        <v>54216.8</v>
      </c>
      <c r="BW15" s="70">
        <v>53836.8</v>
      </c>
      <c r="BX15" s="70">
        <v>53665.2</v>
      </c>
      <c r="BY15" s="70">
        <v>53853.8</v>
      </c>
      <c r="BZ15" s="70">
        <v>53893.9</v>
      </c>
    </row>
    <row r="16" spans="1:78" ht="16.5" customHeight="1" hidden="1">
      <c r="A16" s="52" t="s">
        <v>9</v>
      </c>
      <c r="B16" s="53">
        <v>2314.4</v>
      </c>
      <c r="C16" s="54">
        <v>2745.2</v>
      </c>
      <c r="D16" s="55">
        <v>3078.8</v>
      </c>
      <c r="E16" s="56">
        <v>2566.5</v>
      </c>
      <c r="F16" s="57">
        <v>1968.5</v>
      </c>
      <c r="G16" s="58">
        <v>1209.4</v>
      </c>
      <c r="H16" s="57">
        <v>655.4</v>
      </c>
      <c r="I16" s="57">
        <v>374</v>
      </c>
      <c r="J16" s="58">
        <v>312.9</v>
      </c>
      <c r="K16" s="58">
        <v>272.4</v>
      </c>
      <c r="L16" s="59">
        <v>287.1</v>
      </c>
      <c r="M16" s="60">
        <v>285.0783</v>
      </c>
      <c r="N16" s="60">
        <v>279.4545</v>
      </c>
      <c r="O16" s="59">
        <v>267.00509</v>
      </c>
      <c r="P16" s="59">
        <v>261.57648</v>
      </c>
      <c r="Q16" s="61">
        <v>273.62112</v>
      </c>
      <c r="R16" s="62">
        <v>284.10811</v>
      </c>
      <c r="S16" s="63">
        <v>224.7359</v>
      </c>
      <c r="T16" s="59">
        <v>221.697</v>
      </c>
      <c r="U16" s="59">
        <v>231.6</v>
      </c>
      <c r="V16" s="61">
        <v>226.59332</v>
      </c>
      <c r="W16" s="64">
        <v>185.91153</v>
      </c>
      <c r="X16" s="60">
        <v>203.8</v>
      </c>
      <c r="Y16" s="59">
        <v>208.9</v>
      </c>
      <c r="Z16" s="65">
        <v>200.9</v>
      </c>
      <c r="AA16" s="65">
        <v>202.8</v>
      </c>
      <c r="AB16" s="65">
        <v>204.5</v>
      </c>
      <c r="AC16" s="65">
        <v>213.4</v>
      </c>
      <c r="AD16" s="65">
        <v>215.8</v>
      </c>
      <c r="AE16" s="65">
        <v>219.3</v>
      </c>
      <c r="AF16" s="65">
        <v>206.9</v>
      </c>
      <c r="AG16" s="65">
        <v>208.1</v>
      </c>
      <c r="AH16" s="65">
        <v>206.84</v>
      </c>
      <c r="AI16" s="65">
        <v>199.6</v>
      </c>
      <c r="AJ16" s="60">
        <v>193.2</v>
      </c>
      <c r="AK16" s="59">
        <v>188</v>
      </c>
      <c r="AL16" s="59">
        <v>185.2</v>
      </c>
      <c r="AM16" s="59">
        <v>194.74</v>
      </c>
      <c r="AN16" s="59">
        <v>207.5</v>
      </c>
      <c r="AO16" s="60">
        <v>206.74</v>
      </c>
      <c r="AP16" s="64">
        <v>210.5</v>
      </c>
      <c r="AQ16" s="65">
        <v>207</v>
      </c>
      <c r="AR16" s="65">
        <v>204.54</v>
      </c>
      <c r="AS16" s="59">
        <v>205.15</v>
      </c>
      <c r="AT16" s="59">
        <v>202.9</v>
      </c>
      <c r="AU16" s="65">
        <v>194.1</v>
      </c>
      <c r="AV16" s="60">
        <v>195.05</v>
      </c>
      <c r="AW16" s="60">
        <v>197.9</v>
      </c>
      <c r="AX16" s="60">
        <v>193</v>
      </c>
      <c r="AY16" s="60">
        <v>190.7</v>
      </c>
      <c r="AZ16" s="60">
        <v>190.5</v>
      </c>
      <c r="BA16" s="70">
        <v>186.9</v>
      </c>
      <c r="BB16" s="70">
        <v>185.6</v>
      </c>
      <c r="BC16" s="70">
        <v>187.8</v>
      </c>
      <c r="BD16" s="70">
        <v>184</v>
      </c>
      <c r="BE16" s="70">
        <v>185.3</v>
      </c>
      <c r="BF16" s="70">
        <v>181.9</v>
      </c>
      <c r="BG16" s="70">
        <v>189.4</v>
      </c>
      <c r="BH16" s="70">
        <v>184.2</v>
      </c>
      <c r="BI16" s="70">
        <v>184.4</v>
      </c>
      <c r="BJ16" s="70">
        <v>180.6</v>
      </c>
      <c r="BK16" s="70">
        <v>182.6</v>
      </c>
      <c r="BL16" s="70">
        <v>180.8</v>
      </c>
      <c r="BM16" s="70">
        <v>178</v>
      </c>
      <c r="BN16" s="70">
        <v>178</v>
      </c>
      <c r="BO16" s="70">
        <v>175.8</v>
      </c>
      <c r="BP16" s="70">
        <v>172.9</v>
      </c>
      <c r="BQ16" s="70">
        <v>172.7</v>
      </c>
      <c r="BR16" s="70">
        <v>170.7</v>
      </c>
      <c r="BS16" s="70">
        <v>169.8</v>
      </c>
      <c r="BT16" s="70">
        <v>171.9</v>
      </c>
      <c r="BU16" s="70">
        <v>172.3</v>
      </c>
      <c r="BV16" s="70">
        <v>171.6</v>
      </c>
      <c r="BW16" s="70">
        <v>169.6</v>
      </c>
      <c r="BX16" s="70">
        <v>171</v>
      </c>
      <c r="BY16" s="70">
        <v>169.6</v>
      </c>
      <c r="BZ16" s="70">
        <v>171.8</v>
      </c>
    </row>
    <row r="17" spans="1:78" ht="21.75" customHeight="1" hidden="1">
      <c r="A17" s="52" t="s">
        <v>10</v>
      </c>
      <c r="B17" s="77">
        <v>14187.6</v>
      </c>
      <c r="C17" s="78">
        <v>19325.4</v>
      </c>
      <c r="D17" s="77">
        <v>25793.4</v>
      </c>
      <c r="E17" s="78">
        <v>31197.8</v>
      </c>
      <c r="F17" s="78">
        <v>36327.2</v>
      </c>
      <c r="G17" s="78">
        <v>37392.5</v>
      </c>
      <c r="H17" s="78">
        <v>43438.8</v>
      </c>
      <c r="I17" s="78">
        <v>59568</v>
      </c>
      <c r="J17" s="78">
        <v>79710</v>
      </c>
      <c r="K17" s="78">
        <v>101587.3</v>
      </c>
      <c r="L17" s="59">
        <v>129503.9</v>
      </c>
      <c r="M17" s="60">
        <v>126379.25468</v>
      </c>
      <c r="N17" s="60">
        <v>129872.247</v>
      </c>
      <c r="O17" s="59">
        <v>132463.619421</v>
      </c>
      <c r="P17" s="59">
        <v>130092.67952</v>
      </c>
      <c r="Q17" s="61">
        <v>134347.3904</v>
      </c>
      <c r="R17" s="62">
        <v>144177.21441</v>
      </c>
      <c r="S17" s="63">
        <v>134488.52711</v>
      </c>
      <c r="T17" s="59">
        <v>137952.59004</v>
      </c>
      <c r="U17" s="59">
        <v>140117.1</v>
      </c>
      <c r="V17" s="61">
        <v>139614.44394</v>
      </c>
      <c r="W17" s="64">
        <v>140327.30948</v>
      </c>
      <c r="X17" s="60">
        <v>146633.4</v>
      </c>
      <c r="Y17" s="59">
        <v>143543.4</v>
      </c>
      <c r="Z17" s="65">
        <v>154366.8</v>
      </c>
      <c r="AA17" s="65">
        <v>158920</v>
      </c>
      <c r="AB17" s="65">
        <v>159962.7</v>
      </c>
      <c r="AC17" s="65">
        <v>158788.4</v>
      </c>
      <c r="AD17" s="65">
        <v>152818.2</v>
      </c>
      <c r="AE17" s="65">
        <v>155076.3</v>
      </c>
      <c r="AF17" s="65">
        <v>152318.9</v>
      </c>
      <c r="AG17" s="65">
        <v>155895.1</v>
      </c>
      <c r="AH17" s="65">
        <v>158393.5</v>
      </c>
      <c r="AI17" s="65">
        <v>160206.9</v>
      </c>
      <c r="AJ17" s="60">
        <v>160862.3</v>
      </c>
      <c r="AK17" s="59">
        <v>162312.3</v>
      </c>
      <c r="AL17" s="59">
        <v>171494.2</v>
      </c>
      <c r="AM17" s="59">
        <v>173844.34</v>
      </c>
      <c r="AN17" s="59">
        <v>175879.6</v>
      </c>
      <c r="AO17" s="60">
        <v>172413.7</v>
      </c>
      <c r="AP17" s="64">
        <v>175519.4</v>
      </c>
      <c r="AQ17" s="79">
        <v>174742</v>
      </c>
      <c r="AR17" s="79">
        <v>174636.54</v>
      </c>
      <c r="AS17" s="80">
        <v>182835.35</v>
      </c>
      <c r="AT17" s="80">
        <v>185083.2</v>
      </c>
      <c r="AU17" s="79">
        <v>181125.8</v>
      </c>
      <c r="AV17" s="60">
        <v>186569.3</v>
      </c>
      <c r="AW17" s="81">
        <v>190121.9</v>
      </c>
      <c r="AX17" s="81">
        <v>194603.7</v>
      </c>
      <c r="AY17" s="81">
        <v>191093.5</v>
      </c>
      <c r="AZ17" s="81">
        <v>198383.9</v>
      </c>
      <c r="BA17" s="82">
        <v>193745.14</v>
      </c>
      <c r="BB17" s="82">
        <v>194780.2</v>
      </c>
      <c r="BC17" s="82">
        <v>192347.4</v>
      </c>
      <c r="BD17" s="82">
        <v>193659.24</v>
      </c>
      <c r="BE17" s="82">
        <v>192808.4</v>
      </c>
      <c r="BF17" s="82">
        <v>200675.2</v>
      </c>
      <c r="BG17" s="82">
        <v>205437.4</v>
      </c>
      <c r="BH17" s="82">
        <v>219653.5</v>
      </c>
      <c r="BI17" s="82">
        <v>214104.6</v>
      </c>
      <c r="BJ17" s="82">
        <v>219190.2</v>
      </c>
      <c r="BK17" s="82">
        <v>217421.5</v>
      </c>
      <c r="BL17" s="82">
        <v>214123.1</v>
      </c>
      <c r="BM17" s="82">
        <v>214973.8</v>
      </c>
      <c r="BN17" s="82">
        <v>219238.33</v>
      </c>
      <c r="BO17" s="82">
        <v>214497.7</v>
      </c>
      <c r="BP17" s="82">
        <v>216229.7</v>
      </c>
      <c r="BQ17" s="82">
        <v>218480.4</v>
      </c>
      <c r="BR17" s="82">
        <v>223334.7</v>
      </c>
      <c r="BS17" s="82">
        <v>228043.5</v>
      </c>
      <c r="BT17" s="82">
        <v>243876.2</v>
      </c>
      <c r="BU17" s="82">
        <v>234975.3</v>
      </c>
      <c r="BV17" s="82">
        <v>240209.2</v>
      </c>
      <c r="BW17" s="82">
        <v>239576</v>
      </c>
      <c r="BX17" s="82">
        <v>244090</v>
      </c>
      <c r="BY17" s="82">
        <v>252252.1</v>
      </c>
      <c r="BZ17" s="82">
        <v>248355.4</v>
      </c>
    </row>
    <row r="18" spans="1:78" ht="16.5" customHeight="1" hidden="1">
      <c r="A18" s="83" t="s">
        <v>11</v>
      </c>
      <c r="B18" s="71">
        <f aca="true" t="shared" si="14" ref="B18:AT18">SUM(B19:B25)</f>
        <v>25285.5</v>
      </c>
      <c r="C18" s="72">
        <f t="shared" si="14"/>
        <v>33776.4</v>
      </c>
      <c r="D18" s="71">
        <f t="shared" si="14"/>
        <v>43793.8</v>
      </c>
      <c r="E18" s="72">
        <f t="shared" si="14"/>
        <v>51136.600000000006</v>
      </c>
      <c r="F18" s="72">
        <f t="shared" si="14"/>
        <v>55147.299999999996</v>
      </c>
      <c r="G18" s="72">
        <f t="shared" si="14"/>
        <v>56381.799999999996</v>
      </c>
      <c r="H18" s="72">
        <f t="shared" si="14"/>
        <v>59868.5</v>
      </c>
      <c r="I18" s="72">
        <f t="shared" si="14"/>
        <v>76149.59999999999</v>
      </c>
      <c r="J18" s="85">
        <f t="shared" si="14"/>
        <v>100556.4</v>
      </c>
      <c r="K18" s="85">
        <f t="shared" si="14"/>
        <v>136493.8</v>
      </c>
      <c r="L18" s="84">
        <f t="shared" si="14"/>
        <v>182510.30000000002</v>
      </c>
      <c r="M18" s="85">
        <f t="shared" si="14"/>
        <v>178723</v>
      </c>
      <c r="N18" s="85">
        <f t="shared" si="14"/>
        <v>181494.61649999997</v>
      </c>
      <c r="O18" s="84">
        <f t="shared" si="14"/>
        <v>187476.541801</v>
      </c>
      <c r="P18" s="85">
        <f t="shared" si="14"/>
        <v>184007.58495999998</v>
      </c>
      <c r="Q18" s="85">
        <f t="shared" si="14"/>
        <v>189121.47608</v>
      </c>
      <c r="R18" s="84">
        <f t="shared" si="14"/>
        <v>202388.04461999997</v>
      </c>
      <c r="S18" s="84">
        <f t="shared" si="14"/>
        <v>192954.63157</v>
      </c>
      <c r="T18" s="84">
        <f t="shared" si="14"/>
        <v>195975.12888</v>
      </c>
      <c r="U18" s="84">
        <f t="shared" si="14"/>
        <v>200634.5</v>
      </c>
      <c r="V18" s="85">
        <f t="shared" si="14"/>
        <v>199580.785</v>
      </c>
      <c r="W18" s="84">
        <f t="shared" si="14"/>
        <v>201455.63009</v>
      </c>
      <c r="X18" s="85">
        <f t="shared" si="14"/>
        <v>210388.58</v>
      </c>
      <c r="Y18" s="85">
        <f t="shared" si="14"/>
        <v>207511.9</v>
      </c>
      <c r="Z18" s="85">
        <f t="shared" si="14"/>
        <v>217778.5</v>
      </c>
      <c r="AA18" s="85">
        <f t="shared" si="14"/>
        <v>222624.1</v>
      </c>
      <c r="AB18" s="85">
        <f t="shared" si="14"/>
        <v>223952.7</v>
      </c>
      <c r="AC18" s="85">
        <f t="shared" si="14"/>
        <v>224749.2</v>
      </c>
      <c r="AD18" s="85">
        <f t="shared" si="14"/>
        <v>219100.89999999997</v>
      </c>
      <c r="AE18" s="85">
        <f t="shared" si="14"/>
        <v>223454.60000000003</v>
      </c>
      <c r="AF18" s="85">
        <f t="shared" si="14"/>
        <v>218464.4</v>
      </c>
      <c r="AG18" s="85">
        <f t="shared" si="14"/>
        <v>222804.50000000003</v>
      </c>
      <c r="AH18" s="85">
        <f t="shared" si="14"/>
        <v>225335.6</v>
      </c>
      <c r="AI18" s="85">
        <f t="shared" si="14"/>
        <v>227301.99999999997</v>
      </c>
      <c r="AJ18" s="85">
        <f t="shared" si="14"/>
        <v>226841.9</v>
      </c>
      <c r="AK18" s="84">
        <f t="shared" si="14"/>
        <v>228822.3</v>
      </c>
      <c r="AL18" s="84">
        <f t="shared" si="14"/>
        <v>235942.09999999998</v>
      </c>
      <c r="AM18" s="84">
        <f t="shared" si="14"/>
        <v>238452.69999999998</v>
      </c>
      <c r="AN18" s="84">
        <f t="shared" si="14"/>
        <v>238986.58</v>
      </c>
      <c r="AO18" s="85">
        <f t="shared" si="14"/>
        <v>235516.1</v>
      </c>
      <c r="AP18" s="86">
        <f t="shared" si="14"/>
        <v>239716.80000000002</v>
      </c>
      <c r="AQ18" s="87">
        <f t="shared" si="14"/>
        <v>237881.69999999998</v>
      </c>
      <c r="AR18" s="87">
        <f t="shared" si="14"/>
        <v>238895.5</v>
      </c>
      <c r="AS18" s="84">
        <f t="shared" si="14"/>
        <v>246545.9</v>
      </c>
      <c r="AT18" s="84">
        <f t="shared" si="14"/>
        <v>251459.3</v>
      </c>
      <c r="AU18" s="87">
        <v>246739.2</v>
      </c>
      <c r="AV18" s="85">
        <f aca="true" t="shared" si="15" ref="AV18:BZ18">SUM(AV19:AV25)</f>
        <v>252179.8</v>
      </c>
      <c r="AW18" s="85">
        <f t="shared" si="15"/>
        <v>255987.2</v>
      </c>
      <c r="AX18" s="85">
        <f t="shared" si="15"/>
        <v>259457.7</v>
      </c>
      <c r="AY18" s="85">
        <f t="shared" si="15"/>
        <v>254545.9</v>
      </c>
      <c r="AZ18" s="85">
        <f t="shared" si="15"/>
        <v>261542.1</v>
      </c>
      <c r="BA18" s="88">
        <f t="shared" si="15"/>
        <v>255580.2</v>
      </c>
      <c r="BB18" s="88">
        <f t="shared" si="15"/>
        <v>257060.7</v>
      </c>
      <c r="BC18" s="88">
        <f t="shared" si="15"/>
        <v>255082.85</v>
      </c>
      <c r="BD18" s="88">
        <f t="shared" si="15"/>
        <v>255443.58000000002</v>
      </c>
      <c r="BE18" s="88">
        <f t="shared" si="15"/>
        <v>253959.2</v>
      </c>
      <c r="BF18" s="88">
        <f t="shared" si="15"/>
        <v>261718.57</v>
      </c>
      <c r="BG18" s="88">
        <f t="shared" si="15"/>
        <v>265653.6</v>
      </c>
      <c r="BH18" s="88">
        <f t="shared" si="15"/>
        <v>280763.8</v>
      </c>
      <c r="BI18" s="88">
        <f t="shared" si="15"/>
        <v>268239.7</v>
      </c>
      <c r="BJ18" s="88">
        <f t="shared" si="15"/>
        <v>272404.30000000005</v>
      </c>
      <c r="BK18" s="88">
        <f t="shared" si="15"/>
        <v>268935.1</v>
      </c>
      <c r="BL18" s="88">
        <f t="shared" si="15"/>
        <v>265250.9</v>
      </c>
      <c r="BM18" s="88">
        <f t="shared" si="15"/>
        <v>266229.1</v>
      </c>
      <c r="BN18" s="88">
        <f t="shared" si="15"/>
        <v>273834.7</v>
      </c>
      <c r="BO18" s="88">
        <f t="shared" si="15"/>
        <v>268640.8</v>
      </c>
      <c r="BP18" s="88">
        <f t="shared" si="15"/>
        <v>270339.89999999997</v>
      </c>
      <c r="BQ18" s="88">
        <f t="shared" si="15"/>
        <v>272131.39999999997</v>
      </c>
      <c r="BR18" s="88">
        <f t="shared" si="15"/>
        <v>277077.80000000005</v>
      </c>
      <c r="BS18" s="88">
        <f t="shared" si="15"/>
        <v>281841</v>
      </c>
      <c r="BT18" s="88">
        <f t="shared" si="15"/>
        <v>299142.60000000003</v>
      </c>
      <c r="BU18" s="88">
        <f t="shared" si="15"/>
        <v>290246.1</v>
      </c>
      <c r="BV18" s="88">
        <f t="shared" si="15"/>
        <v>294597.6</v>
      </c>
      <c r="BW18" s="88">
        <f t="shared" si="15"/>
        <v>293582.4</v>
      </c>
      <c r="BX18" s="88">
        <f t="shared" si="15"/>
        <v>297926.19999999995</v>
      </c>
      <c r="BY18" s="88">
        <f t="shared" si="15"/>
        <v>306275.48</v>
      </c>
      <c r="BZ18" s="88">
        <f t="shared" si="15"/>
        <v>302421.10000000003</v>
      </c>
    </row>
    <row r="19" spans="1:78" ht="21.75" customHeight="1" hidden="1">
      <c r="A19" s="89" t="s">
        <v>12</v>
      </c>
      <c r="B19" s="77">
        <f>2429.4+845.2</f>
        <v>3274.6000000000004</v>
      </c>
      <c r="C19" s="54">
        <v>4779.3</v>
      </c>
      <c r="D19" s="55">
        <v>5996.2</v>
      </c>
      <c r="E19" s="56">
        <v>4325.8</v>
      </c>
      <c r="F19" s="57">
        <v>6027.6</v>
      </c>
      <c r="G19" s="58">
        <f>1339</f>
        <v>1339</v>
      </c>
      <c r="H19" s="57">
        <f>1086</f>
        <v>1086</v>
      </c>
      <c r="I19" s="57">
        <v>2514.4</v>
      </c>
      <c r="J19" s="58">
        <v>8106.9</v>
      </c>
      <c r="K19" s="58">
        <v>23432.2</v>
      </c>
      <c r="L19" s="59">
        <v>32659.2</v>
      </c>
      <c r="M19" s="60">
        <v>34040.1</v>
      </c>
      <c r="N19" s="60">
        <v>34910.66</v>
      </c>
      <c r="O19" s="59">
        <v>34591.93</v>
      </c>
      <c r="P19" s="59">
        <v>35773.1</v>
      </c>
      <c r="Q19" s="61">
        <v>35716.6</v>
      </c>
      <c r="R19" s="62">
        <v>35342.1</v>
      </c>
      <c r="S19" s="63">
        <v>32607.3</v>
      </c>
      <c r="T19" s="59">
        <v>31814.1</v>
      </c>
      <c r="U19" s="59">
        <v>31683.3</v>
      </c>
      <c r="V19" s="61">
        <v>31998.7</v>
      </c>
      <c r="W19" s="64">
        <v>32012.7</v>
      </c>
      <c r="X19" s="68">
        <v>33743.8</v>
      </c>
      <c r="Y19" s="59">
        <v>36507.6</v>
      </c>
      <c r="Z19" s="65">
        <v>37906.2</v>
      </c>
      <c r="AA19" s="65">
        <v>39792.5</v>
      </c>
      <c r="AB19" s="65">
        <v>36449.3</v>
      </c>
      <c r="AC19" s="65">
        <v>33168</v>
      </c>
      <c r="AD19" s="65">
        <v>30415.1</v>
      </c>
      <c r="AE19" s="65">
        <v>26125.6</v>
      </c>
      <c r="AF19" s="65">
        <v>25140.7</v>
      </c>
      <c r="AG19" s="65">
        <v>25806.9</v>
      </c>
      <c r="AH19" s="65">
        <v>27980</v>
      </c>
      <c r="AI19" s="59">
        <v>26895.7</v>
      </c>
      <c r="AJ19" s="68">
        <v>27262.6</v>
      </c>
      <c r="AK19" s="59">
        <v>24210.8</v>
      </c>
      <c r="AL19" s="59">
        <v>21850.7</v>
      </c>
      <c r="AM19" s="59">
        <v>19361.7</v>
      </c>
      <c r="AN19" s="59">
        <v>16687.9</v>
      </c>
      <c r="AO19" s="60">
        <v>14774.1</v>
      </c>
      <c r="AP19" s="64">
        <v>13565.8</v>
      </c>
      <c r="AQ19" s="65">
        <v>13563.75</v>
      </c>
      <c r="AR19" s="59">
        <v>13162</v>
      </c>
      <c r="AS19" s="68">
        <v>11379</v>
      </c>
      <c r="AT19" s="64">
        <v>12577.2</v>
      </c>
      <c r="AU19" s="65">
        <v>10481.7</v>
      </c>
      <c r="AV19" s="68">
        <v>10298.1</v>
      </c>
      <c r="AW19" s="60">
        <v>9534.8</v>
      </c>
      <c r="AX19" s="60">
        <v>8533.7</v>
      </c>
      <c r="AY19" s="60">
        <v>8032</v>
      </c>
      <c r="AZ19" s="60">
        <v>9329.9</v>
      </c>
      <c r="BA19" s="70">
        <v>9327.8</v>
      </c>
      <c r="BB19" s="70">
        <v>9826.1</v>
      </c>
      <c r="BC19" s="70">
        <v>9801</v>
      </c>
      <c r="BD19" s="70">
        <v>10099.64</v>
      </c>
      <c r="BE19" s="70">
        <v>10098.1</v>
      </c>
      <c r="BF19" s="70">
        <v>10696</v>
      </c>
      <c r="BG19" s="70">
        <v>10894.5</v>
      </c>
      <c r="BH19" s="70">
        <v>10793.4</v>
      </c>
      <c r="BI19" s="70">
        <v>11092.3</v>
      </c>
      <c r="BJ19" s="70">
        <v>12245.6</v>
      </c>
      <c r="BK19" s="70">
        <v>11744</v>
      </c>
      <c r="BL19" s="70">
        <v>12742.6</v>
      </c>
      <c r="BM19" s="70">
        <v>11886.4</v>
      </c>
      <c r="BN19" s="70">
        <v>10386.4</v>
      </c>
      <c r="BO19" s="70">
        <v>9983.2</v>
      </c>
      <c r="BP19" s="70">
        <v>9981.1</v>
      </c>
      <c r="BQ19" s="70">
        <v>9479.7</v>
      </c>
      <c r="BR19" s="70">
        <v>10878.2</v>
      </c>
      <c r="BS19" s="70">
        <v>10476.9</v>
      </c>
      <c r="BT19" s="70">
        <v>9176.1</v>
      </c>
      <c r="BU19" s="70">
        <v>10974.9</v>
      </c>
      <c r="BV19" s="70">
        <v>11573.5</v>
      </c>
      <c r="BW19" s="70">
        <v>10073.5</v>
      </c>
      <c r="BX19" s="70">
        <v>11070.8</v>
      </c>
      <c r="BY19" s="70">
        <v>10930.4</v>
      </c>
      <c r="BZ19" s="70">
        <v>11529</v>
      </c>
    </row>
    <row r="20" spans="1:78" ht="18.75" customHeight="1" hidden="1">
      <c r="A20" s="89" t="s">
        <v>13</v>
      </c>
      <c r="B20" s="77">
        <v>0</v>
      </c>
      <c r="C20" s="54">
        <v>0</v>
      </c>
      <c r="D20" s="55">
        <v>0</v>
      </c>
      <c r="E20" s="56">
        <v>0</v>
      </c>
      <c r="F20" s="57">
        <v>0</v>
      </c>
      <c r="G20" s="58">
        <v>0</v>
      </c>
      <c r="H20" s="57">
        <v>0</v>
      </c>
      <c r="I20" s="57">
        <v>0</v>
      </c>
      <c r="J20" s="58">
        <v>1825</v>
      </c>
      <c r="K20" s="58">
        <v>0</v>
      </c>
      <c r="L20" s="59">
        <v>0</v>
      </c>
      <c r="M20" s="60">
        <v>0</v>
      </c>
      <c r="N20" s="60">
        <v>0</v>
      </c>
      <c r="O20" s="59">
        <v>0</v>
      </c>
      <c r="P20" s="59">
        <v>0</v>
      </c>
      <c r="Q20" s="61">
        <v>0</v>
      </c>
      <c r="R20" s="62">
        <v>0</v>
      </c>
      <c r="S20" s="63">
        <v>0</v>
      </c>
      <c r="T20" s="59">
        <v>0</v>
      </c>
      <c r="U20" s="59">
        <v>0</v>
      </c>
      <c r="V20" s="61">
        <v>0</v>
      </c>
      <c r="W20" s="64">
        <v>0</v>
      </c>
      <c r="X20" s="60">
        <v>2200</v>
      </c>
      <c r="Y20" s="59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0</v>
      </c>
      <c r="AE20" s="65">
        <v>0</v>
      </c>
      <c r="AF20" s="65">
        <v>0</v>
      </c>
      <c r="AG20" s="65">
        <v>0</v>
      </c>
      <c r="AH20" s="65">
        <v>0</v>
      </c>
      <c r="AI20" s="59">
        <v>0</v>
      </c>
      <c r="AJ20" s="60">
        <v>0</v>
      </c>
      <c r="AK20" s="59">
        <v>0</v>
      </c>
      <c r="AL20" s="59">
        <v>0</v>
      </c>
      <c r="AM20" s="59">
        <v>0</v>
      </c>
      <c r="AN20" s="59">
        <v>0</v>
      </c>
      <c r="AO20" s="60">
        <v>0</v>
      </c>
      <c r="AP20" s="64">
        <v>0</v>
      </c>
      <c r="AQ20" s="65">
        <v>0</v>
      </c>
      <c r="AR20" s="59">
        <v>0</v>
      </c>
      <c r="AS20" s="60">
        <v>0</v>
      </c>
      <c r="AT20" s="64">
        <v>0</v>
      </c>
      <c r="AU20" s="65">
        <v>0</v>
      </c>
      <c r="AV20" s="60">
        <v>0</v>
      </c>
      <c r="AW20" s="60">
        <v>0</v>
      </c>
      <c r="AX20" s="60">
        <v>0</v>
      </c>
      <c r="AY20" s="60">
        <v>0</v>
      </c>
      <c r="AZ20" s="60">
        <v>0</v>
      </c>
      <c r="BA20" s="70">
        <v>0</v>
      </c>
      <c r="BB20" s="70">
        <v>0</v>
      </c>
      <c r="BC20" s="70">
        <v>0</v>
      </c>
      <c r="BD20" s="70">
        <v>0</v>
      </c>
      <c r="BE20" s="70">
        <v>0</v>
      </c>
      <c r="BF20" s="70">
        <v>0</v>
      </c>
      <c r="BG20" s="70">
        <v>0</v>
      </c>
      <c r="BH20" s="70">
        <v>0</v>
      </c>
      <c r="BI20" s="70">
        <v>0</v>
      </c>
      <c r="BJ20" s="70">
        <v>0</v>
      </c>
      <c r="BK20" s="70">
        <v>0</v>
      </c>
      <c r="BL20" s="70">
        <v>0</v>
      </c>
      <c r="BM20" s="70">
        <v>0</v>
      </c>
      <c r="BN20" s="70">
        <v>0</v>
      </c>
      <c r="BO20" s="70">
        <v>0</v>
      </c>
      <c r="BP20" s="70">
        <v>0</v>
      </c>
      <c r="BQ20" s="70">
        <v>0</v>
      </c>
      <c r="BR20" s="70">
        <v>0</v>
      </c>
      <c r="BS20" s="70">
        <v>0</v>
      </c>
      <c r="BT20" s="70">
        <v>0</v>
      </c>
      <c r="BU20" s="70">
        <v>0</v>
      </c>
      <c r="BV20" s="70">
        <v>0</v>
      </c>
      <c r="BW20" s="70">
        <v>0</v>
      </c>
      <c r="BX20" s="70">
        <v>0</v>
      </c>
      <c r="BY20" s="70">
        <v>0</v>
      </c>
      <c r="BZ20" s="70">
        <v>0</v>
      </c>
    </row>
    <row r="21" spans="1:78" ht="19.5" customHeight="1" hidden="1">
      <c r="A21" s="89" t="s">
        <v>14</v>
      </c>
      <c r="B21" s="77">
        <f>393.8+2317.8</f>
        <v>2711.6000000000004</v>
      </c>
      <c r="C21" s="54">
        <f>1053.3+1648.4</f>
        <v>2701.7</v>
      </c>
      <c r="D21" s="55">
        <f>1874.2+755.8</f>
        <v>2630</v>
      </c>
      <c r="E21" s="56">
        <f>2666.4+108.3</f>
        <v>2774.7000000000003</v>
      </c>
      <c r="F21" s="57">
        <f>2414.2+80.4</f>
        <v>2494.6</v>
      </c>
      <c r="G21" s="58">
        <f>4426.7+55.2</f>
        <v>4481.9</v>
      </c>
      <c r="H21" s="57">
        <f>3119.1+18.8</f>
        <v>3137.9</v>
      </c>
      <c r="I21" s="57">
        <v>6885.4</v>
      </c>
      <c r="J21" s="58">
        <v>9505.7</v>
      </c>
      <c r="K21" s="58">
        <v>23146.2</v>
      </c>
      <c r="L21" s="59">
        <v>34021.4</v>
      </c>
      <c r="M21" s="60">
        <v>35529.3</v>
      </c>
      <c r="N21" s="60">
        <v>36986.4</v>
      </c>
      <c r="O21" s="59">
        <v>37457.4</v>
      </c>
      <c r="P21" s="59">
        <v>38254.2</v>
      </c>
      <c r="Q21" s="61">
        <v>42949.2</v>
      </c>
      <c r="R21" s="62">
        <v>44969.7</v>
      </c>
      <c r="S21" s="63">
        <v>48543.7</v>
      </c>
      <c r="T21" s="59">
        <v>49673.1</v>
      </c>
      <c r="U21" s="59">
        <v>50468.6</v>
      </c>
      <c r="V21" s="61">
        <v>48183.3</v>
      </c>
      <c r="W21" s="64">
        <v>49097</v>
      </c>
      <c r="X21" s="60">
        <v>50110</v>
      </c>
      <c r="Y21" s="59">
        <v>53037.3</v>
      </c>
      <c r="Z21" s="65">
        <v>57522.8</v>
      </c>
      <c r="AA21" s="65">
        <v>59607.8</v>
      </c>
      <c r="AB21" s="65">
        <v>63529.6</v>
      </c>
      <c r="AC21" s="65">
        <v>66590.6</v>
      </c>
      <c r="AD21" s="65">
        <v>67406.8</v>
      </c>
      <c r="AE21" s="65">
        <v>68753.1</v>
      </c>
      <c r="AF21" s="65">
        <v>68317.6</v>
      </c>
      <c r="AG21" s="65">
        <v>69109.3</v>
      </c>
      <c r="AH21" s="65">
        <v>67512.8</v>
      </c>
      <c r="AI21" s="59">
        <v>67251.5</v>
      </c>
      <c r="AJ21" s="60">
        <v>72929.1</v>
      </c>
      <c r="AK21" s="59">
        <v>83551.5</v>
      </c>
      <c r="AL21" s="59">
        <v>86528.9</v>
      </c>
      <c r="AM21" s="59">
        <v>86386.1</v>
      </c>
      <c r="AN21" s="59">
        <v>90993.34</v>
      </c>
      <c r="AO21" s="60">
        <v>93722.7</v>
      </c>
      <c r="AP21" s="64">
        <v>96268.8</v>
      </c>
      <c r="AQ21" s="65">
        <v>95449.45</v>
      </c>
      <c r="AR21" s="59">
        <v>95312.1</v>
      </c>
      <c r="AS21" s="60">
        <v>98248.1</v>
      </c>
      <c r="AT21" s="64">
        <v>96755.7</v>
      </c>
      <c r="AU21" s="65">
        <v>95497.9</v>
      </c>
      <c r="AV21" s="60">
        <v>98137.6</v>
      </c>
      <c r="AW21" s="60">
        <v>102279</v>
      </c>
      <c r="AX21" s="60">
        <v>105116</v>
      </c>
      <c r="AY21" s="60">
        <v>104175.3</v>
      </c>
      <c r="AZ21" s="60">
        <v>101479.9</v>
      </c>
      <c r="BA21" s="70">
        <v>98298.9</v>
      </c>
      <c r="BB21" s="70">
        <v>100914.7</v>
      </c>
      <c r="BC21" s="70">
        <v>98673.7</v>
      </c>
      <c r="BD21" s="70">
        <v>100677.34</v>
      </c>
      <c r="BE21" s="70">
        <v>102093.1</v>
      </c>
      <c r="BF21" s="70">
        <v>98497.54</v>
      </c>
      <c r="BG21" s="70">
        <v>101231.4</v>
      </c>
      <c r="BH21" s="70">
        <v>102920.4</v>
      </c>
      <c r="BI21" s="70">
        <v>105131</v>
      </c>
      <c r="BJ21" s="70">
        <v>108689.1</v>
      </c>
      <c r="BK21" s="70">
        <v>110423.5</v>
      </c>
      <c r="BL21" s="70">
        <v>105099.5</v>
      </c>
      <c r="BM21" s="70">
        <v>106353.1</v>
      </c>
      <c r="BN21" s="70">
        <v>107648.9</v>
      </c>
      <c r="BO21" s="70">
        <v>104960.7</v>
      </c>
      <c r="BP21" s="70">
        <v>106782.9</v>
      </c>
      <c r="BQ21" s="70">
        <v>109257.7</v>
      </c>
      <c r="BR21" s="70">
        <v>104088.6</v>
      </c>
      <c r="BS21" s="70">
        <v>106630.4</v>
      </c>
      <c r="BT21" s="70">
        <v>109073.3</v>
      </c>
      <c r="BU21" s="70">
        <v>105064.3</v>
      </c>
      <c r="BV21" s="70">
        <v>103300.7</v>
      </c>
      <c r="BW21" s="70">
        <v>107542.4</v>
      </c>
      <c r="BX21" s="70">
        <v>110412.4</v>
      </c>
      <c r="BY21" s="70">
        <v>106172.8</v>
      </c>
      <c r="BZ21" s="70">
        <v>108898.3</v>
      </c>
    </row>
    <row r="22" spans="1:78" ht="19.5" customHeight="1" hidden="1">
      <c r="A22" s="90" t="s">
        <v>15</v>
      </c>
      <c r="B22" s="77">
        <v>1521.8</v>
      </c>
      <c r="C22" s="54">
        <v>3782.9</v>
      </c>
      <c r="D22" s="55">
        <v>6110.8</v>
      </c>
      <c r="E22" s="56">
        <v>10073.7</v>
      </c>
      <c r="F22" s="57">
        <v>9717.4</v>
      </c>
      <c r="G22" s="58">
        <v>7354.2</v>
      </c>
      <c r="H22" s="57">
        <v>6763.4</v>
      </c>
      <c r="I22" s="57">
        <v>7220.4</v>
      </c>
      <c r="J22" s="58">
        <v>8569.9</v>
      </c>
      <c r="K22" s="58">
        <v>9093.6</v>
      </c>
      <c r="L22" s="59">
        <v>10497.8</v>
      </c>
      <c r="M22" s="60">
        <v>10424.5</v>
      </c>
      <c r="N22" s="60">
        <v>10326.75</v>
      </c>
      <c r="O22" s="59">
        <v>10079.545</v>
      </c>
      <c r="P22" s="59">
        <v>9982.28</v>
      </c>
      <c r="Q22" s="61">
        <v>10095.96</v>
      </c>
      <c r="R22" s="62">
        <v>16724.695</v>
      </c>
      <c r="S22" s="63">
        <v>16749.185</v>
      </c>
      <c r="T22" s="59">
        <v>16680.06</v>
      </c>
      <c r="U22" s="59">
        <v>17195.5</v>
      </c>
      <c r="V22" s="61">
        <v>17080.985</v>
      </c>
      <c r="W22" s="64">
        <v>17197.905</v>
      </c>
      <c r="X22" s="60">
        <v>17062.84</v>
      </c>
      <c r="Y22" s="59">
        <v>17156</v>
      </c>
      <c r="Z22" s="65">
        <v>22030.8</v>
      </c>
      <c r="AA22" s="65">
        <v>24678.4</v>
      </c>
      <c r="AB22" s="65">
        <v>24847</v>
      </c>
      <c r="AC22" s="65">
        <v>22597.9</v>
      </c>
      <c r="AD22" s="65">
        <v>22416.5</v>
      </c>
      <c r="AE22" s="65">
        <v>22673.8</v>
      </c>
      <c r="AF22" s="65">
        <v>22477.2</v>
      </c>
      <c r="AG22" s="65">
        <v>26014.1</v>
      </c>
      <c r="AH22" s="65">
        <v>25989.7</v>
      </c>
      <c r="AI22" s="59">
        <v>32587.1</v>
      </c>
      <c r="AJ22" s="60">
        <v>31912.3</v>
      </c>
      <c r="AK22" s="59">
        <v>31380</v>
      </c>
      <c r="AL22" s="59">
        <v>36538.1</v>
      </c>
      <c r="AM22" s="59">
        <v>37205.5</v>
      </c>
      <c r="AN22" s="59">
        <v>36183.34</v>
      </c>
      <c r="AO22" s="60">
        <v>36724.8</v>
      </c>
      <c r="AP22" s="64">
        <v>37330</v>
      </c>
      <c r="AQ22" s="65">
        <v>36664.7</v>
      </c>
      <c r="AR22" s="59">
        <v>36967.9</v>
      </c>
      <c r="AS22" s="60">
        <v>43616.9</v>
      </c>
      <c r="AT22" s="64">
        <v>45394.6</v>
      </c>
      <c r="AU22" s="65">
        <v>45550.25</v>
      </c>
      <c r="AV22" s="60">
        <v>45841.9</v>
      </c>
      <c r="AW22" s="60">
        <v>52835.7</v>
      </c>
      <c r="AX22" s="60">
        <v>52501.5</v>
      </c>
      <c r="AY22" s="60">
        <v>51989.3</v>
      </c>
      <c r="AZ22" s="60">
        <v>57451.6</v>
      </c>
      <c r="BA22" s="70">
        <v>57064.3</v>
      </c>
      <c r="BB22" s="70">
        <v>56865.6</v>
      </c>
      <c r="BC22" s="70">
        <v>57648.52</v>
      </c>
      <c r="BD22" s="70">
        <v>57866.8</v>
      </c>
      <c r="BE22" s="70">
        <v>58736</v>
      </c>
      <c r="BF22" s="70">
        <v>65423.73</v>
      </c>
      <c r="BG22" s="70">
        <v>65784.2</v>
      </c>
      <c r="BH22" s="70">
        <v>67140.9</v>
      </c>
      <c r="BI22" s="70">
        <v>68050</v>
      </c>
      <c r="BJ22" s="70">
        <v>68211.4</v>
      </c>
      <c r="BK22" s="70">
        <v>64432</v>
      </c>
      <c r="BL22" s="70">
        <v>63611.5</v>
      </c>
      <c r="BM22" s="70">
        <v>64300.4</v>
      </c>
      <c r="BN22" s="70">
        <v>64362</v>
      </c>
      <c r="BO22" s="70">
        <v>63860.1</v>
      </c>
      <c r="BP22" s="70">
        <v>63715.4</v>
      </c>
      <c r="BQ22" s="70">
        <v>63475.9</v>
      </c>
      <c r="BR22" s="70">
        <v>73007.6</v>
      </c>
      <c r="BS22" s="70">
        <v>74153.1</v>
      </c>
      <c r="BT22" s="70">
        <v>74749.9</v>
      </c>
      <c r="BU22" s="70">
        <v>74880.9</v>
      </c>
      <c r="BV22" s="70">
        <v>79422.6</v>
      </c>
      <c r="BW22" s="70">
        <v>78548.3</v>
      </c>
      <c r="BX22" s="70">
        <v>78592.7</v>
      </c>
      <c r="BY22" s="70">
        <v>84187.74</v>
      </c>
      <c r="BZ22" s="70">
        <v>77610.7</v>
      </c>
    </row>
    <row r="23" spans="1:78" ht="19.5" customHeight="1" hidden="1">
      <c r="A23" s="89" t="s">
        <v>16</v>
      </c>
      <c r="B23" s="77">
        <v>0</v>
      </c>
      <c r="C23" s="54">
        <v>0</v>
      </c>
      <c r="D23" s="55">
        <v>0</v>
      </c>
      <c r="E23" s="56">
        <v>0</v>
      </c>
      <c r="F23" s="57">
        <v>0</v>
      </c>
      <c r="G23" s="58">
        <v>0</v>
      </c>
      <c r="H23" s="57">
        <v>0</v>
      </c>
      <c r="I23" s="57">
        <v>268.6</v>
      </c>
      <c r="J23" s="58">
        <v>243.5</v>
      </c>
      <c r="K23" s="58">
        <v>79.2</v>
      </c>
      <c r="L23" s="59">
        <v>63</v>
      </c>
      <c r="M23" s="60">
        <v>57.8</v>
      </c>
      <c r="N23" s="60">
        <v>52.75</v>
      </c>
      <c r="O23" s="59">
        <v>47.39</v>
      </c>
      <c r="P23" s="59">
        <v>43.6</v>
      </c>
      <c r="Q23" s="61">
        <v>39.9</v>
      </c>
      <c r="R23" s="62">
        <v>36.4</v>
      </c>
      <c r="S23" s="63">
        <v>33.9</v>
      </c>
      <c r="T23" s="59">
        <v>27.5</v>
      </c>
      <c r="U23" s="59">
        <v>20.9</v>
      </c>
      <c r="V23" s="61">
        <v>18.4</v>
      </c>
      <c r="W23" s="64">
        <v>13.3</v>
      </c>
      <c r="X23" s="60">
        <v>8.34</v>
      </c>
      <c r="Y23" s="59">
        <v>5.7</v>
      </c>
      <c r="Z23" s="65">
        <v>4.6</v>
      </c>
      <c r="AA23" s="65">
        <v>4.3</v>
      </c>
      <c r="AB23" s="65">
        <v>3</v>
      </c>
      <c r="AC23" s="65">
        <v>3</v>
      </c>
      <c r="AD23" s="65">
        <v>1.9</v>
      </c>
      <c r="AE23" s="65">
        <v>0.6000000000000001</v>
      </c>
      <c r="AF23" s="65">
        <v>0.1</v>
      </c>
      <c r="AG23" s="65">
        <v>0.1</v>
      </c>
      <c r="AH23" s="65">
        <v>0</v>
      </c>
      <c r="AI23" s="59">
        <v>0</v>
      </c>
      <c r="AJ23" s="60">
        <v>0</v>
      </c>
      <c r="AK23" s="59">
        <v>0</v>
      </c>
      <c r="AL23" s="59">
        <v>0</v>
      </c>
      <c r="AM23" s="59">
        <v>0</v>
      </c>
      <c r="AN23" s="59">
        <v>0</v>
      </c>
      <c r="AO23" s="60">
        <v>0</v>
      </c>
      <c r="AP23" s="64">
        <v>0</v>
      </c>
      <c r="AQ23" s="65">
        <v>0</v>
      </c>
      <c r="AR23" s="59">
        <v>0</v>
      </c>
      <c r="AS23" s="60">
        <v>0</v>
      </c>
      <c r="AT23" s="64">
        <v>0</v>
      </c>
      <c r="AU23" s="65">
        <v>0</v>
      </c>
      <c r="AV23" s="60">
        <v>0</v>
      </c>
      <c r="AW23" s="60">
        <v>0</v>
      </c>
      <c r="AX23" s="60">
        <v>0</v>
      </c>
      <c r="AY23" s="60">
        <v>0</v>
      </c>
      <c r="AZ23" s="60">
        <v>0</v>
      </c>
      <c r="BA23" s="70">
        <v>0</v>
      </c>
      <c r="BB23" s="70">
        <v>0</v>
      </c>
      <c r="BC23" s="70">
        <v>0</v>
      </c>
      <c r="BD23" s="70">
        <v>0</v>
      </c>
      <c r="BE23" s="70">
        <v>0</v>
      </c>
      <c r="BF23" s="70">
        <v>0</v>
      </c>
      <c r="BG23" s="70">
        <v>0</v>
      </c>
      <c r="BH23" s="70">
        <v>0</v>
      </c>
      <c r="BI23" s="70">
        <v>0</v>
      </c>
      <c r="BJ23" s="70">
        <v>0</v>
      </c>
      <c r="BK23" s="70">
        <v>0</v>
      </c>
      <c r="BL23" s="70">
        <v>0</v>
      </c>
      <c r="BM23" s="70">
        <v>0</v>
      </c>
      <c r="BN23" s="70">
        <v>0</v>
      </c>
      <c r="BO23" s="70">
        <v>0</v>
      </c>
      <c r="BP23" s="70">
        <v>0</v>
      </c>
      <c r="BQ23" s="70">
        <v>0</v>
      </c>
      <c r="BR23" s="70">
        <v>0</v>
      </c>
      <c r="BS23" s="70">
        <v>0</v>
      </c>
      <c r="BT23" s="70">
        <v>0</v>
      </c>
      <c r="BU23" s="70">
        <v>0</v>
      </c>
      <c r="BV23" s="70">
        <v>0</v>
      </c>
      <c r="BW23" s="70">
        <v>0</v>
      </c>
      <c r="BX23" s="70">
        <v>0</v>
      </c>
      <c r="BY23" s="70">
        <v>0</v>
      </c>
      <c r="BZ23" s="70">
        <v>0</v>
      </c>
    </row>
    <row r="24" spans="1:78" ht="18.75" customHeight="1" hidden="1">
      <c r="A24" s="52" t="s">
        <v>17</v>
      </c>
      <c r="B24" s="77">
        <v>16393.5</v>
      </c>
      <c r="C24" s="78">
        <v>20870.7</v>
      </c>
      <c r="D24" s="77">
        <v>26885.4</v>
      </c>
      <c r="E24" s="78">
        <v>30348.6</v>
      </c>
      <c r="F24" s="78">
        <v>33278.2</v>
      </c>
      <c r="G24" s="78">
        <v>35162.1</v>
      </c>
      <c r="H24" s="78">
        <v>29042</v>
      </c>
      <c r="I24" s="78">
        <v>29853</v>
      </c>
      <c r="J24" s="78">
        <v>32710.7</v>
      </c>
      <c r="K24" s="78">
        <v>52608.2</v>
      </c>
      <c r="L24" s="59">
        <v>73832.2</v>
      </c>
      <c r="M24" s="60">
        <v>72665.6</v>
      </c>
      <c r="N24" s="60">
        <v>72370.6565</v>
      </c>
      <c r="O24" s="59">
        <v>74926.880801</v>
      </c>
      <c r="P24" s="59">
        <v>74001.10496</v>
      </c>
      <c r="Q24" s="61">
        <v>74801.61608</v>
      </c>
      <c r="R24" s="62">
        <v>74830.11962</v>
      </c>
      <c r="S24" s="63">
        <v>69239.04657</v>
      </c>
      <c r="T24" s="59">
        <v>68798.66888</v>
      </c>
      <c r="U24" s="59">
        <v>71840</v>
      </c>
      <c r="V24" s="61">
        <v>71000.2</v>
      </c>
      <c r="W24" s="64">
        <v>72469.02509</v>
      </c>
      <c r="X24" s="60">
        <v>75418.5</v>
      </c>
      <c r="Y24" s="59">
        <v>75315.2</v>
      </c>
      <c r="Z24" s="65">
        <v>74774.7</v>
      </c>
      <c r="AA24" s="65">
        <v>75216.7</v>
      </c>
      <c r="AB24" s="65">
        <v>75697.6</v>
      </c>
      <c r="AC24" s="65">
        <v>78080</v>
      </c>
      <c r="AD24" s="65">
        <v>78422.3</v>
      </c>
      <c r="AE24" s="65">
        <v>81356.3</v>
      </c>
      <c r="AF24" s="65">
        <v>78324.4</v>
      </c>
      <c r="AG24" s="65">
        <v>79958.2</v>
      </c>
      <c r="AH24" s="65">
        <v>79579.5</v>
      </c>
      <c r="AI24" s="59">
        <v>79782.3</v>
      </c>
      <c r="AJ24" s="60">
        <v>78572.3</v>
      </c>
      <c r="AK24" s="59">
        <v>78738</v>
      </c>
      <c r="AL24" s="59">
        <v>76735.4</v>
      </c>
      <c r="AM24" s="59">
        <v>77165.9</v>
      </c>
      <c r="AN24" s="59">
        <v>75469.9</v>
      </c>
      <c r="AO24" s="60">
        <v>75675.9</v>
      </c>
      <c r="AP24" s="64">
        <v>77086</v>
      </c>
      <c r="AQ24" s="65">
        <v>75772.2</v>
      </c>
      <c r="AR24" s="59">
        <v>77060.1</v>
      </c>
      <c r="AS24" s="60">
        <v>76550</v>
      </c>
      <c r="AT24" s="64">
        <v>79208.5</v>
      </c>
      <c r="AU24" s="65">
        <v>78481.35</v>
      </c>
      <c r="AV24" s="60">
        <v>78746.4</v>
      </c>
      <c r="AW24" s="60">
        <v>78866.2</v>
      </c>
      <c r="AX24" s="60">
        <v>77894.7</v>
      </c>
      <c r="AY24" s="60">
        <v>76373</v>
      </c>
      <c r="AZ24" s="60">
        <v>76192.6</v>
      </c>
      <c r="BA24" s="70">
        <v>74834.1</v>
      </c>
      <c r="BB24" s="70">
        <v>75292.8</v>
      </c>
      <c r="BC24" s="70">
        <v>75781.73</v>
      </c>
      <c r="BD24" s="70">
        <v>74937.6</v>
      </c>
      <c r="BE24" s="70">
        <v>74387.7</v>
      </c>
      <c r="BF24" s="70">
        <v>74535.1</v>
      </c>
      <c r="BG24" s="70">
        <v>73811.65</v>
      </c>
      <c r="BH24" s="70">
        <v>74989.5</v>
      </c>
      <c r="BI24" s="70">
        <v>67694.7</v>
      </c>
      <c r="BJ24" s="70">
        <v>66906.3</v>
      </c>
      <c r="BK24" s="70">
        <v>65290.4</v>
      </c>
      <c r="BL24" s="70">
        <v>65117.9</v>
      </c>
      <c r="BM24" s="70">
        <v>65461</v>
      </c>
      <c r="BN24" s="70">
        <v>69022.6</v>
      </c>
      <c r="BO24" s="70">
        <v>68407.1</v>
      </c>
      <c r="BP24" s="70">
        <v>68624.2</v>
      </c>
      <c r="BQ24" s="70">
        <v>68358</v>
      </c>
      <c r="BR24" s="70">
        <v>68781.5</v>
      </c>
      <c r="BS24" s="70">
        <v>69055.9</v>
      </c>
      <c r="BT24" s="70">
        <v>70624.1</v>
      </c>
      <c r="BU24" s="70">
        <v>70550.1</v>
      </c>
      <c r="BV24" s="70">
        <v>69661.8</v>
      </c>
      <c r="BW24" s="70">
        <v>69540.7</v>
      </c>
      <c r="BX24" s="70">
        <v>69787.7</v>
      </c>
      <c r="BY24" s="70">
        <v>70360.74</v>
      </c>
      <c r="BZ24" s="70">
        <v>70591.4</v>
      </c>
    </row>
    <row r="25" spans="1:78" s="3" customFormat="1" ht="19.5" customHeight="1" hidden="1">
      <c r="A25" s="91" t="s">
        <v>18</v>
      </c>
      <c r="B25" s="92">
        <v>1384</v>
      </c>
      <c r="C25" s="93">
        <v>1641.8</v>
      </c>
      <c r="D25" s="94">
        <v>2171.4</v>
      </c>
      <c r="E25" s="95">
        <v>3613.8</v>
      </c>
      <c r="F25" s="96">
        <v>3629.5</v>
      </c>
      <c r="G25" s="97">
        <v>8044.6</v>
      </c>
      <c r="H25" s="96">
        <v>19839.2</v>
      </c>
      <c r="I25" s="96">
        <v>29407.8</v>
      </c>
      <c r="J25" s="58">
        <v>39594.7</v>
      </c>
      <c r="K25" s="58">
        <v>28134.4</v>
      </c>
      <c r="L25" s="59">
        <v>31436.7</v>
      </c>
      <c r="M25" s="60">
        <v>26005.7</v>
      </c>
      <c r="N25" s="60">
        <v>26847.4</v>
      </c>
      <c r="O25" s="59">
        <v>30373.396</v>
      </c>
      <c r="P25" s="59">
        <v>25953.3</v>
      </c>
      <c r="Q25" s="61">
        <v>25518.2</v>
      </c>
      <c r="R25" s="62">
        <v>30485.03</v>
      </c>
      <c r="S25" s="63">
        <v>25781.5</v>
      </c>
      <c r="T25" s="59">
        <v>28981.7</v>
      </c>
      <c r="U25" s="59">
        <v>29426.2</v>
      </c>
      <c r="V25" s="61">
        <v>31299.2</v>
      </c>
      <c r="W25" s="64">
        <v>30665.7</v>
      </c>
      <c r="X25" s="81">
        <v>31845.1</v>
      </c>
      <c r="Y25" s="59">
        <v>25490.1</v>
      </c>
      <c r="Z25" s="65">
        <v>25539.4</v>
      </c>
      <c r="AA25" s="65">
        <v>23324.4</v>
      </c>
      <c r="AB25" s="65">
        <v>23426.2</v>
      </c>
      <c r="AC25" s="65">
        <v>24309.7</v>
      </c>
      <c r="AD25" s="65">
        <v>20438.3</v>
      </c>
      <c r="AE25" s="65">
        <v>24545.2</v>
      </c>
      <c r="AF25" s="65">
        <v>24204.4</v>
      </c>
      <c r="AG25" s="65">
        <v>21915.9</v>
      </c>
      <c r="AH25" s="65">
        <v>24273.6</v>
      </c>
      <c r="AI25" s="59">
        <v>20785.4</v>
      </c>
      <c r="AJ25" s="81">
        <v>16165.6</v>
      </c>
      <c r="AK25" s="59">
        <v>10942</v>
      </c>
      <c r="AL25" s="59">
        <v>14289</v>
      </c>
      <c r="AM25" s="59">
        <v>18333.5</v>
      </c>
      <c r="AN25" s="59">
        <v>19652.1</v>
      </c>
      <c r="AO25" s="60">
        <v>14618.6</v>
      </c>
      <c r="AP25" s="64">
        <v>15466.2</v>
      </c>
      <c r="AQ25" s="65">
        <v>16431.6</v>
      </c>
      <c r="AR25" s="59">
        <v>16393.4</v>
      </c>
      <c r="AS25" s="81">
        <v>16751.9</v>
      </c>
      <c r="AT25" s="64">
        <v>17523.3</v>
      </c>
      <c r="AU25" s="65">
        <v>16728</v>
      </c>
      <c r="AV25" s="81">
        <v>19155.8</v>
      </c>
      <c r="AW25" s="60">
        <v>12471.5</v>
      </c>
      <c r="AX25" s="60">
        <v>15411.8</v>
      </c>
      <c r="AY25" s="60">
        <v>13976.3</v>
      </c>
      <c r="AZ25" s="60">
        <v>17088.1</v>
      </c>
      <c r="BA25" s="70">
        <v>16055.1</v>
      </c>
      <c r="BB25" s="70">
        <v>14161.5</v>
      </c>
      <c r="BC25" s="70">
        <v>13177.9</v>
      </c>
      <c r="BD25" s="70">
        <v>11862.2</v>
      </c>
      <c r="BE25" s="70">
        <v>8644.3</v>
      </c>
      <c r="BF25" s="70">
        <v>12566.2</v>
      </c>
      <c r="BG25" s="70">
        <v>13931.85</v>
      </c>
      <c r="BH25" s="70">
        <v>24919.6</v>
      </c>
      <c r="BI25" s="70">
        <v>16271.7</v>
      </c>
      <c r="BJ25" s="70">
        <v>16351.9</v>
      </c>
      <c r="BK25" s="70">
        <v>17045.2</v>
      </c>
      <c r="BL25" s="70">
        <v>18679.4</v>
      </c>
      <c r="BM25" s="70">
        <v>18228.2</v>
      </c>
      <c r="BN25" s="70">
        <v>22414.8</v>
      </c>
      <c r="BO25" s="70">
        <v>21429.7</v>
      </c>
      <c r="BP25" s="70">
        <v>21236.3</v>
      </c>
      <c r="BQ25" s="70">
        <v>21560.1</v>
      </c>
      <c r="BR25" s="70">
        <v>20321.9</v>
      </c>
      <c r="BS25" s="70">
        <v>21524.7</v>
      </c>
      <c r="BT25" s="70">
        <v>35519.2</v>
      </c>
      <c r="BU25" s="70">
        <v>28775.9</v>
      </c>
      <c r="BV25" s="70">
        <v>30639</v>
      </c>
      <c r="BW25" s="70">
        <v>27877.5</v>
      </c>
      <c r="BX25" s="70">
        <v>28062.6</v>
      </c>
      <c r="BY25" s="70">
        <v>34623.8</v>
      </c>
      <c r="BZ25" s="70">
        <v>33791.7</v>
      </c>
    </row>
    <row r="26" spans="1:78" ht="16.5" customHeight="1">
      <c r="A26" s="83" t="s">
        <v>19</v>
      </c>
      <c r="B26" s="98">
        <f aca="true" t="shared" si="16" ref="B26:AT26">SUM(B27:B42)</f>
        <v>25285.539999999997</v>
      </c>
      <c r="C26" s="99">
        <f t="shared" si="16"/>
        <v>33776.359149</v>
      </c>
      <c r="D26" s="98">
        <f t="shared" si="16"/>
        <v>43793.793999999994</v>
      </c>
      <c r="E26" s="99">
        <f t="shared" si="16"/>
        <v>51136.57999999999</v>
      </c>
      <c r="F26" s="99">
        <f t="shared" si="16"/>
        <v>55147.34</v>
      </c>
      <c r="G26" s="99">
        <f t="shared" si="16"/>
        <v>56381.83</v>
      </c>
      <c r="H26" s="99">
        <f t="shared" si="16"/>
        <v>59868.54558</v>
      </c>
      <c r="I26" s="99">
        <f t="shared" si="16"/>
        <v>46741.829999999994</v>
      </c>
      <c r="J26" s="99">
        <f t="shared" si="16"/>
        <v>100556.44</v>
      </c>
      <c r="K26" s="99">
        <f t="shared" si="16"/>
        <v>108359.44</v>
      </c>
      <c r="L26" s="100">
        <f t="shared" si="16"/>
        <v>182510.28999999998</v>
      </c>
      <c r="M26" s="99">
        <f t="shared" si="16"/>
        <v>178723</v>
      </c>
      <c r="N26" s="99">
        <f t="shared" si="16"/>
        <v>181494.61649999995</v>
      </c>
      <c r="O26" s="100">
        <f t="shared" si="16"/>
        <v>187476.459519</v>
      </c>
      <c r="P26" s="99">
        <f t="shared" si="16"/>
        <v>184007.58495999998</v>
      </c>
      <c r="Q26" s="99">
        <f t="shared" si="16"/>
        <v>189121.47608</v>
      </c>
      <c r="R26" s="100">
        <f t="shared" si="16"/>
        <v>202388.04461999997</v>
      </c>
      <c r="S26" s="100">
        <f t="shared" si="16"/>
        <v>192954.63157000003</v>
      </c>
      <c r="T26" s="100">
        <f t="shared" si="16"/>
        <v>195975.12888</v>
      </c>
      <c r="U26" s="100">
        <f t="shared" si="16"/>
        <v>200634.5</v>
      </c>
      <c r="V26" s="99">
        <f t="shared" si="16"/>
        <v>199580.80933</v>
      </c>
      <c r="W26" s="100">
        <f t="shared" si="16"/>
        <v>201455.63009</v>
      </c>
      <c r="X26" s="99">
        <f t="shared" si="16"/>
        <v>210388.63039999997</v>
      </c>
      <c r="Y26" s="99">
        <f t="shared" si="16"/>
        <v>207511.9</v>
      </c>
      <c r="Z26" s="99">
        <f t="shared" si="16"/>
        <v>217778.50000000003</v>
      </c>
      <c r="AA26" s="99">
        <f t="shared" si="16"/>
        <v>222624.09999999998</v>
      </c>
      <c r="AB26" s="99">
        <f t="shared" si="16"/>
        <v>223952.7</v>
      </c>
      <c r="AC26" s="99">
        <f t="shared" si="16"/>
        <v>224749.29999999996</v>
      </c>
      <c r="AD26" s="99">
        <f t="shared" si="16"/>
        <v>219100.9</v>
      </c>
      <c r="AE26" s="99">
        <f t="shared" si="16"/>
        <v>223454.6</v>
      </c>
      <c r="AF26" s="99">
        <f t="shared" si="16"/>
        <v>218464.40000000005</v>
      </c>
      <c r="AG26" s="99">
        <f t="shared" si="16"/>
        <v>222804.5</v>
      </c>
      <c r="AH26" s="99">
        <f t="shared" si="16"/>
        <v>225335.58604000002</v>
      </c>
      <c r="AI26" s="99">
        <f t="shared" si="16"/>
        <v>227302.00000000003</v>
      </c>
      <c r="AJ26" s="99">
        <f t="shared" si="16"/>
        <v>226841.9</v>
      </c>
      <c r="AK26" s="100">
        <f t="shared" si="16"/>
        <v>226822.26</v>
      </c>
      <c r="AL26" s="100">
        <f t="shared" si="16"/>
        <v>235942.1</v>
      </c>
      <c r="AM26" s="100">
        <f t="shared" si="16"/>
        <v>238452.69999999998</v>
      </c>
      <c r="AN26" s="100">
        <f t="shared" si="16"/>
        <v>238986.58000000002</v>
      </c>
      <c r="AO26" s="99">
        <f t="shared" si="16"/>
        <v>235516.09999999998</v>
      </c>
      <c r="AP26" s="101">
        <f t="shared" si="16"/>
        <v>239716.77000000002</v>
      </c>
      <c r="AQ26" s="102">
        <f t="shared" si="16"/>
        <v>237881.69999999998</v>
      </c>
      <c r="AR26" s="102">
        <f t="shared" si="16"/>
        <v>238895.50000000003</v>
      </c>
      <c r="AS26" s="102">
        <f t="shared" si="16"/>
        <v>246545.90000000002</v>
      </c>
      <c r="AT26" s="100">
        <f t="shared" si="16"/>
        <v>251459.30000000002</v>
      </c>
      <c r="AU26" s="102">
        <v>246739.2</v>
      </c>
      <c r="AV26" s="99">
        <f aca="true" t="shared" si="17" ref="AV26:BU26">SUM(AV27:AV42)</f>
        <v>233024</v>
      </c>
      <c r="AW26" s="99">
        <f t="shared" si="17"/>
        <v>255987.17999999996</v>
      </c>
      <c r="AX26" s="99">
        <f t="shared" si="17"/>
        <v>259457.68000000002</v>
      </c>
      <c r="AY26" s="99">
        <f t="shared" si="17"/>
        <v>254545.90000000002</v>
      </c>
      <c r="AZ26" s="99">
        <f t="shared" si="17"/>
        <v>261542.1</v>
      </c>
      <c r="BA26" s="103">
        <f t="shared" si="17"/>
        <v>255580.18</v>
      </c>
      <c r="BB26" s="103">
        <f t="shared" si="17"/>
        <v>257060.69999999998</v>
      </c>
      <c r="BC26" s="103">
        <f t="shared" si="17"/>
        <v>255082.86000000002</v>
      </c>
      <c r="BD26" s="103">
        <f t="shared" si="17"/>
        <v>255443.59999999998</v>
      </c>
      <c r="BE26" s="103">
        <f t="shared" si="17"/>
        <v>253959.19999999998</v>
      </c>
      <c r="BF26" s="103">
        <f t="shared" si="17"/>
        <v>261718.58000000002</v>
      </c>
      <c r="BG26" s="103">
        <f t="shared" si="17"/>
        <v>265653.6</v>
      </c>
      <c r="BH26" s="103">
        <f t="shared" si="17"/>
        <v>280763.8</v>
      </c>
      <c r="BI26" s="103">
        <f t="shared" si="17"/>
        <v>268239.70000000007</v>
      </c>
      <c r="BJ26" s="103">
        <f t="shared" si="17"/>
        <v>272404.3</v>
      </c>
      <c r="BK26" s="103">
        <f t="shared" si="17"/>
        <v>268935.10000000003</v>
      </c>
      <c r="BL26" s="103">
        <f t="shared" si="17"/>
        <v>265250.9</v>
      </c>
      <c r="BM26" s="103">
        <f t="shared" si="17"/>
        <v>266229.1</v>
      </c>
      <c r="BN26" s="103">
        <f t="shared" si="17"/>
        <v>273834.7</v>
      </c>
      <c r="BO26" s="103">
        <f t="shared" si="17"/>
        <v>268640.80000000005</v>
      </c>
      <c r="BP26" s="103">
        <f t="shared" si="17"/>
        <v>270339.89999999997</v>
      </c>
      <c r="BQ26" s="103">
        <f t="shared" si="17"/>
        <v>272131.39999999997</v>
      </c>
      <c r="BR26" s="103">
        <f t="shared" si="17"/>
        <v>277077.80000000005</v>
      </c>
      <c r="BS26" s="103">
        <f t="shared" si="17"/>
        <v>281841.00000000006</v>
      </c>
      <c r="BT26" s="103">
        <f t="shared" si="17"/>
        <v>263623.39999999997</v>
      </c>
      <c r="BU26" s="103">
        <f t="shared" si="17"/>
        <v>290246.0999999999</v>
      </c>
      <c r="BV26" s="103">
        <f>SUM(BV27:BV42)</f>
        <v>294597.55</v>
      </c>
      <c r="BW26" s="103">
        <f>SUM(BW27:BW42)</f>
        <v>293582.37</v>
      </c>
      <c r="BX26" s="103">
        <f>SUM(BX27:BX42)</f>
        <v>297926.19999999995</v>
      </c>
      <c r="BY26" s="103">
        <f>SUM(BY27:BY42)</f>
        <v>306275.48</v>
      </c>
      <c r="BZ26" s="103">
        <f>SUM(BZ27:BZ42)</f>
        <v>302421.1</v>
      </c>
    </row>
    <row r="27" spans="1:78" ht="16.5" customHeight="1">
      <c r="A27" s="90" t="s">
        <v>20</v>
      </c>
      <c r="B27" s="55">
        <v>6422.7</v>
      </c>
      <c r="C27" s="58">
        <v>7781.8</v>
      </c>
      <c r="D27" s="55">
        <v>9233.6</v>
      </c>
      <c r="E27" s="56">
        <v>9245.2</v>
      </c>
      <c r="F27" s="57">
        <v>11180.2</v>
      </c>
      <c r="G27" s="58">
        <v>12908</v>
      </c>
      <c r="H27" s="57">
        <v>24461.8</v>
      </c>
      <c r="I27" s="57">
        <f>40473.6+26.6-I25</f>
        <v>11092.399999999998</v>
      </c>
      <c r="J27" s="58">
        <v>60024.77</v>
      </c>
      <c r="K27" s="58">
        <f>64302-K25</f>
        <v>36167.6</v>
      </c>
      <c r="L27" s="68">
        <v>82628.67</v>
      </c>
      <c r="M27" s="60">
        <v>79925.5</v>
      </c>
      <c r="N27" s="60">
        <v>83993.0015</v>
      </c>
      <c r="O27" s="59">
        <v>87143.764697</v>
      </c>
      <c r="P27" s="59">
        <v>85449.9924</v>
      </c>
      <c r="Q27" s="61">
        <v>85312.60184</v>
      </c>
      <c r="R27" s="62">
        <v>91364.77415</v>
      </c>
      <c r="S27" s="104">
        <v>90617.74542</v>
      </c>
      <c r="T27" s="59">
        <v>94187.45136</v>
      </c>
      <c r="U27" s="59">
        <v>94783.4</v>
      </c>
      <c r="V27" s="61">
        <v>94796.39115</v>
      </c>
      <c r="W27" s="64">
        <v>94936.44005</v>
      </c>
      <c r="X27" s="64">
        <v>101241.2</v>
      </c>
      <c r="Y27" s="59">
        <v>98158.4</v>
      </c>
      <c r="Z27" s="65">
        <v>104104.6</v>
      </c>
      <c r="AA27" s="65">
        <v>105736.3</v>
      </c>
      <c r="AB27" s="65">
        <v>106363.1</v>
      </c>
      <c r="AC27" s="65">
        <v>106761.2</v>
      </c>
      <c r="AD27" s="65">
        <v>101022.2</v>
      </c>
      <c r="AE27" s="65">
        <v>101826.7</v>
      </c>
      <c r="AF27" s="65">
        <v>100318.5</v>
      </c>
      <c r="AG27" s="65">
        <v>99979</v>
      </c>
      <c r="AH27" s="65">
        <v>100270.08548</v>
      </c>
      <c r="AI27" s="65">
        <v>97732.9</v>
      </c>
      <c r="AJ27" s="60">
        <v>99439.1</v>
      </c>
      <c r="AK27" s="59">
        <v>99783.7</v>
      </c>
      <c r="AL27" s="59">
        <v>103672.5</v>
      </c>
      <c r="AM27" s="59">
        <v>104869.8</v>
      </c>
      <c r="AN27" s="59">
        <v>105997.4</v>
      </c>
      <c r="AO27" s="68">
        <v>101637</v>
      </c>
      <c r="AP27" s="64">
        <v>103298.7</v>
      </c>
      <c r="AQ27" s="66">
        <v>102195.9</v>
      </c>
      <c r="AR27" s="67">
        <v>103428.65</v>
      </c>
      <c r="AS27" s="68">
        <v>104796.1</v>
      </c>
      <c r="AT27" s="105">
        <v>104757.9</v>
      </c>
      <c r="AU27" s="66">
        <v>106384.8</v>
      </c>
      <c r="AV27" s="60">
        <f>111762.1-AV25</f>
        <v>92606.3</v>
      </c>
      <c r="AW27" s="68">
        <v>107289.34</v>
      </c>
      <c r="AX27" s="68">
        <v>111294.7</v>
      </c>
      <c r="AY27" s="68">
        <v>107760.25</v>
      </c>
      <c r="AZ27" s="68">
        <v>109668.3</v>
      </c>
      <c r="BA27" s="69">
        <v>111480.64</v>
      </c>
      <c r="BB27" s="69">
        <v>113040.8</v>
      </c>
      <c r="BC27" s="69">
        <v>109895.3</v>
      </c>
      <c r="BD27" s="69">
        <v>109823.7</v>
      </c>
      <c r="BE27" s="69">
        <v>108147.2</v>
      </c>
      <c r="BF27" s="69">
        <v>112347.6</v>
      </c>
      <c r="BG27" s="69">
        <v>113790.1</v>
      </c>
      <c r="BH27" s="69">
        <v>126434.7</v>
      </c>
      <c r="BI27" s="69">
        <v>120235.2</v>
      </c>
      <c r="BJ27" s="69">
        <v>125380.6</v>
      </c>
      <c r="BK27" s="69">
        <v>127456.2</v>
      </c>
      <c r="BL27" s="69">
        <v>125140.2</v>
      </c>
      <c r="BM27" s="69">
        <v>125273.1</v>
      </c>
      <c r="BN27" s="69">
        <v>129325.2</v>
      </c>
      <c r="BO27" s="69">
        <v>129716.6</v>
      </c>
      <c r="BP27" s="69">
        <v>131689.7</v>
      </c>
      <c r="BQ27" s="69">
        <v>134182.4</v>
      </c>
      <c r="BR27" s="69">
        <v>129449.3</v>
      </c>
      <c r="BS27" s="69">
        <v>133011.3</v>
      </c>
      <c r="BT27" s="69">
        <f>148073.45-BT25</f>
        <v>112554.25000000001</v>
      </c>
      <c r="BU27" s="69">
        <v>139167.8</v>
      </c>
      <c r="BV27" s="69">
        <v>145002</v>
      </c>
      <c r="BW27" s="69">
        <v>144221.7</v>
      </c>
      <c r="BX27" s="69">
        <v>148564.6</v>
      </c>
      <c r="BY27" s="69">
        <v>151075.9</v>
      </c>
      <c r="BZ27" s="69">
        <v>153976.4</v>
      </c>
    </row>
    <row r="28" spans="1:78" ht="16.5" customHeight="1">
      <c r="A28" s="90" t="s">
        <v>21</v>
      </c>
      <c r="B28" s="53">
        <f>(6269.8+3677)+998.4</f>
        <v>10945.199999999999</v>
      </c>
      <c r="C28" s="54">
        <f>5187.6+7520+1395.8</f>
        <v>14103.4</v>
      </c>
      <c r="D28" s="55">
        <f>8103.14+6547.9+2527.6</f>
        <v>17178.64</v>
      </c>
      <c r="E28" s="56">
        <f>6714.65+7577.9+1982.86</f>
        <v>16275.41</v>
      </c>
      <c r="F28" s="57">
        <f>6520.9+7562.15+3061.7</f>
        <v>17144.75</v>
      </c>
      <c r="G28" s="58">
        <f>6653.49+7494.9+3178.8</f>
        <v>17327.19</v>
      </c>
      <c r="H28" s="57">
        <f>5047.16+4330.73+1358.3</f>
        <v>10736.189999999999</v>
      </c>
      <c r="I28" s="57">
        <f>1243.9+8060.91+2.6</f>
        <v>9307.41</v>
      </c>
      <c r="J28" s="58">
        <f>1417.3+7810.21</f>
        <v>9227.51</v>
      </c>
      <c r="K28" s="58">
        <f>1484.3+7144.76</f>
        <v>8629.06</v>
      </c>
      <c r="L28" s="60">
        <v>8458.15</v>
      </c>
      <c r="M28" s="60">
        <v>8158.9</v>
      </c>
      <c r="N28" s="60">
        <v>7959.06</v>
      </c>
      <c r="O28" s="59">
        <v>7510.389712</v>
      </c>
      <c r="P28" s="59">
        <v>6940.63368</v>
      </c>
      <c r="Q28" s="61">
        <v>7118.91072</v>
      </c>
      <c r="R28" s="62">
        <v>5999.8783</v>
      </c>
      <c r="S28" s="104">
        <v>6073.53728</v>
      </c>
      <c r="T28" s="59">
        <v>5918.40072</v>
      </c>
      <c r="U28" s="59">
        <v>6400.7</v>
      </c>
      <c r="V28" s="61">
        <v>5837.01078</v>
      </c>
      <c r="W28" s="64">
        <v>6041.60924</v>
      </c>
      <c r="X28" s="64">
        <v>6091.65</v>
      </c>
      <c r="Y28" s="59">
        <v>5997.2</v>
      </c>
      <c r="Z28" s="65">
        <v>10689.3</v>
      </c>
      <c r="AA28" s="65">
        <v>13165.8</v>
      </c>
      <c r="AB28" s="65">
        <v>13181.1</v>
      </c>
      <c r="AC28" s="65">
        <v>14116.6</v>
      </c>
      <c r="AD28" s="65">
        <v>13869.5</v>
      </c>
      <c r="AE28" s="65">
        <v>14559.4</v>
      </c>
      <c r="AF28" s="65">
        <v>13805.6</v>
      </c>
      <c r="AG28" s="65">
        <v>13491.9</v>
      </c>
      <c r="AH28" s="65">
        <v>13370.70486</v>
      </c>
      <c r="AI28" s="65">
        <v>13141.6</v>
      </c>
      <c r="AJ28" s="60">
        <v>12661.8</v>
      </c>
      <c r="AK28" s="59">
        <v>12176.2</v>
      </c>
      <c r="AL28" s="59">
        <v>17501.9</v>
      </c>
      <c r="AM28" s="59">
        <v>17950.6</v>
      </c>
      <c r="AN28" s="59">
        <v>17075.3</v>
      </c>
      <c r="AO28" s="60">
        <v>17300.15</v>
      </c>
      <c r="AP28" s="64">
        <v>17497.9</v>
      </c>
      <c r="AQ28" s="65">
        <v>16968.6</v>
      </c>
      <c r="AR28" s="59">
        <v>17075.25</v>
      </c>
      <c r="AS28" s="60">
        <v>16756.6</v>
      </c>
      <c r="AT28" s="64">
        <v>16370.5</v>
      </c>
      <c r="AU28" s="65">
        <v>16330.4</v>
      </c>
      <c r="AV28" s="60">
        <v>16269.2</v>
      </c>
      <c r="AW28" s="60">
        <v>23189.74</v>
      </c>
      <c r="AX28" s="60">
        <v>22710.3</v>
      </c>
      <c r="AY28" s="60">
        <v>22362.65</v>
      </c>
      <c r="AZ28" s="60">
        <v>22187.6</v>
      </c>
      <c r="BA28" s="70">
        <v>22161.4</v>
      </c>
      <c r="BB28" s="70">
        <v>22013</v>
      </c>
      <c r="BC28" s="70">
        <v>22589.24</v>
      </c>
      <c r="BD28" s="70">
        <v>22848.6</v>
      </c>
      <c r="BE28" s="70">
        <v>23797.5</v>
      </c>
      <c r="BF28" s="70">
        <v>23758.5</v>
      </c>
      <c r="BG28" s="70">
        <v>23916.7</v>
      </c>
      <c r="BH28" s="70">
        <v>24796.2</v>
      </c>
      <c r="BI28" s="70">
        <v>26294.8</v>
      </c>
      <c r="BJ28" s="70">
        <v>26467.9</v>
      </c>
      <c r="BK28" s="70">
        <v>27441.6</v>
      </c>
      <c r="BL28" s="70">
        <v>26258</v>
      </c>
      <c r="BM28" s="70">
        <v>26711.4</v>
      </c>
      <c r="BN28" s="70">
        <v>26385.2</v>
      </c>
      <c r="BO28" s="70">
        <v>26482</v>
      </c>
      <c r="BP28" s="70">
        <v>25976.1</v>
      </c>
      <c r="BQ28" s="70">
        <v>25759</v>
      </c>
      <c r="BR28" s="70">
        <v>26246.9</v>
      </c>
      <c r="BS28" s="70">
        <v>27211</v>
      </c>
      <c r="BT28" s="70">
        <v>26858.85</v>
      </c>
      <c r="BU28" s="70">
        <v>26850.9</v>
      </c>
      <c r="BV28" s="70">
        <v>26433.93</v>
      </c>
      <c r="BW28" s="70">
        <v>25273.2</v>
      </c>
      <c r="BX28" s="70">
        <v>25126.9</v>
      </c>
      <c r="BY28" s="70">
        <v>25729.6</v>
      </c>
      <c r="BZ28" s="70">
        <v>25854.4</v>
      </c>
    </row>
    <row r="29" spans="1:78" ht="16.5" customHeight="1">
      <c r="A29" s="90" t="s">
        <v>22</v>
      </c>
      <c r="B29" s="53">
        <f>1297.1+503.45+31.8</f>
        <v>1832.35</v>
      </c>
      <c r="C29" s="54">
        <f>476.5+172.83+7.8</f>
        <v>657.13</v>
      </c>
      <c r="D29" s="55">
        <v>0</v>
      </c>
      <c r="E29" s="56">
        <v>0</v>
      </c>
      <c r="F29" s="57">
        <v>0</v>
      </c>
      <c r="G29" s="58">
        <v>0</v>
      </c>
      <c r="H29" s="57">
        <v>0</v>
      </c>
      <c r="I29" s="57">
        <v>0</v>
      </c>
      <c r="J29" s="58">
        <v>0</v>
      </c>
      <c r="K29" s="58">
        <v>0</v>
      </c>
      <c r="L29" s="60">
        <v>0</v>
      </c>
      <c r="M29" s="60">
        <v>0</v>
      </c>
      <c r="N29" s="60">
        <v>0</v>
      </c>
      <c r="O29" s="59">
        <v>0</v>
      </c>
      <c r="P29" s="59">
        <v>0</v>
      </c>
      <c r="Q29" s="61">
        <v>0</v>
      </c>
      <c r="R29" s="62">
        <v>0</v>
      </c>
      <c r="S29" s="104">
        <v>0</v>
      </c>
      <c r="T29" s="59">
        <v>0</v>
      </c>
      <c r="U29" s="59">
        <v>0</v>
      </c>
      <c r="V29" s="61">
        <v>0</v>
      </c>
      <c r="W29" s="64">
        <v>0</v>
      </c>
      <c r="X29" s="64">
        <v>0</v>
      </c>
      <c r="Y29" s="59">
        <v>0</v>
      </c>
      <c r="Z29" s="65">
        <v>0</v>
      </c>
      <c r="AA29" s="65">
        <v>0</v>
      </c>
      <c r="AB29" s="65">
        <v>0</v>
      </c>
      <c r="AC29" s="65">
        <v>0</v>
      </c>
      <c r="AD29" s="65">
        <v>0</v>
      </c>
      <c r="AE29" s="65">
        <v>0</v>
      </c>
      <c r="AF29" s="65">
        <v>0</v>
      </c>
      <c r="AG29" s="65">
        <v>0</v>
      </c>
      <c r="AH29" s="65">
        <v>0</v>
      </c>
      <c r="AI29" s="65">
        <v>0</v>
      </c>
      <c r="AJ29" s="60">
        <v>0</v>
      </c>
      <c r="AK29" s="59">
        <v>0</v>
      </c>
      <c r="AL29" s="59">
        <v>0</v>
      </c>
      <c r="AM29" s="59">
        <v>0</v>
      </c>
      <c r="AN29" s="59">
        <v>0</v>
      </c>
      <c r="AO29" s="60">
        <v>0</v>
      </c>
      <c r="AP29" s="64">
        <v>0</v>
      </c>
      <c r="AQ29" s="65">
        <v>0</v>
      </c>
      <c r="AR29" s="59">
        <v>0</v>
      </c>
      <c r="AS29" s="60">
        <v>0</v>
      </c>
      <c r="AT29" s="64">
        <v>0</v>
      </c>
      <c r="AU29" s="65">
        <v>0</v>
      </c>
      <c r="AV29" s="60">
        <v>0</v>
      </c>
      <c r="AW29" s="60">
        <v>0</v>
      </c>
      <c r="AX29" s="60">
        <v>0</v>
      </c>
      <c r="AY29" s="60">
        <v>0</v>
      </c>
      <c r="AZ29" s="60">
        <v>0</v>
      </c>
      <c r="BA29" s="70">
        <v>0</v>
      </c>
      <c r="BB29" s="70">
        <v>0</v>
      </c>
      <c r="BC29" s="70">
        <v>0</v>
      </c>
      <c r="BD29" s="70">
        <v>0</v>
      </c>
      <c r="BE29" s="70">
        <v>0</v>
      </c>
      <c r="BF29" s="70">
        <v>0</v>
      </c>
      <c r="BG29" s="70">
        <v>0</v>
      </c>
      <c r="BH29" s="70">
        <v>0</v>
      </c>
      <c r="BI29" s="70">
        <v>0</v>
      </c>
      <c r="BJ29" s="70">
        <v>0</v>
      </c>
      <c r="BK29" s="70">
        <v>0</v>
      </c>
      <c r="BL29" s="70">
        <v>0</v>
      </c>
      <c r="BM29" s="70">
        <v>0</v>
      </c>
      <c r="BN29" s="70">
        <v>0</v>
      </c>
      <c r="BO29" s="70">
        <v>0</v>
      </c>
      <c r="BP29" s="70">
        <v>0</v>
      </c>
      <c r="BQ29" s="70">
        <v>0</v>
      </c>
      <c r="BR29" s="70">
        <v>0</v>
      </c>
      <c r="BS29" s="70">
        <v>0</v>
      </c>
      <c r="BT29" s="70">
        <v>0</v>
      </c>
      <c r="BU29" s="70">
        <v>0</v>
      </c>
      <c r="BV29" s="70">
        <v>0</v>
      </c>
      <c r="BW29" s="70">
        <v>0</v>
      </c>
      <c r="BX29" s="70">
        <v>0</v>
      </c>
      <c r="BY29" s="70">
        <v>0</v>
      </c>
      <c r="BZ29" s="70">
        <v>0</v>
      </c>
    </row>
    <row r="30" spans="1:78" ht="16.5" customHeight="1">
      <c r="A30" s="90" t="s">
        <v>23</v>
      </c>
      <c r="B30" s="53">
        <f>611.3+2091.7</f>
        <v>2703</v>
      </c>
      <c r="C30" s="54">
        <f>1615.48+6563.6</f>
        <v>8179.08</v>
      </c>
      <c r="D30" s="55">
        <f>11023.5+3644.3</f>
        <v>14667.8</v>
      </c>
      <c r="E30" s="56">
        <f>16152.2+4987.9+282.1</f>
        <v>21422.199999999997</v>
      </c>
      <c r="F30" s="57">
        <f>16598.76+6083.3+169.5</f>
        <v>22851.559999999998</v>
      </c>
      <c r="G30" s="58">
        <f>6694.27+15240.31+41</f>
        <v>21975.58</v>
      </c>
      <c r="H30" s="57">
        <f>6871.14+14451.04+7.1</f>
        <v>21329.28</v>
      </c>
      <c r="I30" s="57">
        <f>156.9+23201.91</f>
        <v>23358.81</v>
      </c>
      <c r="J30" s="58">
        <f>168.6+27934.15</f>
        <v>28102.75</v>
      </c>
      <c r="K30" s="58">
        <f>18697.3+37948.8</f>
        <v>56646.100000000006</v>
      </c>
      <c r="L30" s="60">
        <v>78118.8</v>
      </c>
      <c r="M30" s="60">
        <v>77640.8</v>
      </c>
      <c r="N30" s="60">
        <v>76707.037</v>
      </c>
      <c r="O30" s="59">
        <v>80600.383676</v>
      </c>
      <c r="P30" s="59">
        <v>79782.0492</v>
      </c>
      <c r="Q30" s="61">
        <v>84468.90696</v>
      </c>
      <c r="R30" s="62">
        <v>92541.26537</v>
      </c>
      <c r="S30" s="104">
        <v>83541.17678</v>
      </c>
      <c r="T30" s="59">
        <v>83285.3328</v>
      </c>
      <c r="U30" s="59">
        <v>86020.9</v>
      </c>
      <c r="V30" s="61">
        <v>85918.72393</v>
      </c>
      <c r="W30" s="64">
        <v>86912.56996</v>
      </c>
      <c r="X30" s="64">
        <v>89349.75</v>
      </c>
      <c r="Y30" s="59">
        <v>89624.5</v>
      </c>
      <c r="Z30" s="65">
        <v>89654</v>
      </c>
      <c r="AA30" s="65">
        <v>90315.4</v>
      </c>
      <c r="AB30" s="65">
        <v>90726.8</v>
      </c>
      <c r="AC30" s="65">
        <v>89368</v>
      </c>
      <c r="AD30" s="65">
        <v>89923.1</v>
      </c>
      <c r="AE30" s="65">
        <v>92033.8</v>
      </c>
      <c r="AF30" s="65">
        <v>89950.8</v>
      </c>
      <c r="AG30" s="65">
        <v>94964.6</v>
      </c>
      <c r="AH30" s="65">
        <v>97495.02022</v>
      </c>
      <c r="AI30" s="65">
        <v>102420.45</v>
      </c>
      <c r="AJ30" s="60">
        <v>101873.7</v>
      </c>
      <c r="AK30" s="59">
        <v>102601.5</v>
      </c>
      <c r="AL30" s="59">
        <v>102358.8</v>
      </c>
      <c r="AM30" s="59">
        <v>103485.5</v>
      </c>
      <c r="AN30" s="59">
        <v>104268.3</v>
      </c>
      <c r="AO30" s="60">
        <v>105560.75</v>
      </c>
      <c r="AP30" s="64">
        <v>108307.7</v>
      </c>
      <c r="AQ30" s="65">
        <v>108310.9</v>
      </c>
      <c r="AR30" s="59">
        <v>108603.8</v>
      </c>
      <c r="AS30" s="60">
        <v>115796.7</v>
      </c>
      <c r="AT30" s="64">
        <v>121291.6</v>
      </c>
      <c r="AU30" s="65">
        <v>115709.7</v>
      </c>
      <c r="AV30" s="60">
        <v>116459.1</v>
      </c>
      <c r="AW30" s="60">
        <v>117686.4</v>
      </c>
      <c r="AX30" s="60">
        <v>118414.1</v>
      </c>
      <c r="AY30" s="60">
        <v>118033.5</v>
      </c>
      <c r="AZ30" s="60">
        <v>123288</v>
      </c>
      <c r="BA30" s="70">
        <v>116190.14</v>
      </c>
      <c r="BB30" s="70">
        <v>116857.5</v>
      </c>
      <c r="BC30" s="70">
        <v>117375.34</v>
      </c>
      <c r="BD30" s="70">
        <v>118223.6</v>
      </c>
      <c r="BE30" s="70">
        <v>118003.3</v>
      </c>
      <c r="BF30" s="70">
        <v>121636.8</v>
      </c>
      <c r="BG30" s="70">
        <v>124768.1</v>
      </c>
      <c r="BH30" s="70">
        <v>126304.5</v>
      </c>
      <c r="BI30" s="70">
        <v>118330.4</v>
      </c>
      <c r="BJ30" s="70">
        <v>117945.8</v>
      </c>
      <c r="BK30" s="70">
        <v>111385.7</v>
      </c>
      <c r="BL30" s="70">
        <v>111252</v>
      </c>
      <c r="BM30" s="70">
        <v>111690.1</v>
      </c>
      <c r="BN30" s="70">
        <v>115622.3</v>
      </c>
      <c r="BO30" s="70">
        <v>109985.3</v>
      </c>
      <c r="BP30" s="70">
        <v>110235.2</v>
      </c>
      <c r="BQ30" s="70">
        <v>109780.2</v>
      </c>
      <c r="BR30" s="70">
        <v>118895.6</v>
      </c>
      <c r="BS30" s="70">
        <v>119084.1</v>
      </c>
      <c r="BT30" s="70">
        <v>121707.9</v>
      </c>
      <c r="BU30" s="70">
        <v>121743</v>
      </c>
      <c r="BV30" s="70">
        <v>120571.74</v>
      </c>
      <c r="BW30" s="70">
        <v>121611.2</v>
      </c>
      <c r="BX30" s="70">
        <v>121645</v>
      </c>
      <c r="BY30" s="70">
        <v>126913.3</v>
      </c>
      <c r="BZ30" s="70">
        <v>119887.3</v>
      </c>
    </row>
    <row r="31" spans="1:78" ht="16.5" customHeight="1">
      <c r="A31" s="90" t="s">
        <v>24</v>
      </c>
      <c r="B31" s="53">
        <f>919.7+230.7</f>
        <v>1150.4</v>
      </c>
      <c r="C31" s="54">
        <f>1098.95+122.1</f>
        <v>1221.05</v>
      </c>
      <c r="D31" s="55">
        <v>1425.81</v>
      </c>
      <c r="E31" s="56">
        <v>1951.5</v>
      </c>
      <c r="F31" s="57">
        <v>1287.6</v>
      </c>
      <c r="G31" s="58">
        <v>810.9</v>
      </c>
      <c r="H31" s="57">
        <v>331.5</v>
      </c>
      <c r="I31" s="57">
        <v>35.43</v>
      </c>
      <c r="J31" s="58">
        <f>35.96-15.5</f>
        <v>20.46</v>
      </c>
      <c r="K31" s="58">
        <v>3984.67</v>
      </c>
      <c r="L31" s="60">
        <v>9645.9</v>
      </c>
      <c r="M31" s="60">
        <v>9450.1</v>
      </c>
      <c r="N31" s="60">
        <v>9357.3</v>
      </c>
      <c r="O31" s="59">
        <v>8978.20043</v>
      </c>
      <c r="P31" s="59">
        <v>8682.95384</v>
      </c>
      <c r="Q31" s="61">
        <v>8957.38296</v>
      </c>
      <c r="R31" s="62">
        <v>9126.17914</v>
      </c>
      <c r="S31" s="104">
        <v>9269.71983</v>
      </c>
      <c r="T31" s="59">
        <v>9179.52264</v>
      </c>
      <c r="U31" s="59">
        <v>9754</v>
      </c>
      <c r="V31" s="61">
        <v>9493.13579</v>
      </c>
      <c r="W31" s="64">
        <v>9878.9991</v>
      </c>
      <c r="X31" s="64">
        <v>9977</v>
      </c>
      <c r="Y31" s="59">
        <v>9978.7</v>
      </c>
      <c r="Z31" s="65">
        <v>9797.4</v>
      </c>
      <c r="AA31" s="65">
        <v>9896.3</v>
      </c>
      <c r="AB31" s="65">
        <v>10035.7</v>
      </c>
      <c r="AC31" s="65">
        <v>10572.3</v>
      </c>
      <c r="AD31" s="65">
        <v>10445.4</v>
      </c>
      <c r="AE31" s="65">
        <v>10930.5</v>
      </c>
      <c r="AF31" s="65">
        <v>10506.6</v>
      </c>
      <c r="AG31" s="65">
        <v>10522.2</v>
      </c>
      <c r="AH31" s="65">
        <v>10457.74048</v>
      </c>
      <c r="AI31" s="65">
        <v>10360.85</v>
      </c>
      <c r="AJ31" s="60">
        <v>9522.3</v>
      </c>
      <c r="AK31" s="59">
        <v>9167.9</v>
      </c>
      <c r="AL31" s="59">
        <v>9285.4</v>
      </c>
      <c r="AM31" s="59">
        <v>8946.5</v>
      </c>
      <c r="AN31" s="59">
        <v>8644.4</v>
      </c>
      <c r="AO31" s="60">
        <v>8058.5</v>
      </c>
      <c r="AP31" s="64">
        <v>7643.7</v>
      </c>
      <c r="AQ31" s="65">
        <v>7477.1</v>
      </c>
      <c r="AR31" s="59">
        <v>6867.6</v>
      </c>
      <c r="AS31" s="60">
        <v>6311.5</v>
      </c>
      <c r="AT31" s="64">
        <v>6215.7</v>
      </c>
      <c r="AU31" s="65">
        <v>5557.7</v>
      </c>
      <c r="AV31" s="60">
        <v>5047.7</v>
      </c>
      <c r="AW31" s="60">
        <v>5103.7</v>
      </c>
      <c r="AX31" s="60">
        <v>4371.7</v>
      </c>
      <c r="AY31" s="60">
        <v>3786.6</v>
      </c>
      <c r="AZ31" s="60">
        <v>3783.2</v>
      </c>
      <c r="BA31" s="70">
        <v>3098.8</v>
      </c>
      <c r="BB31" s="70">
        <v>2559.4</v>
      </c>
      <c r="BC31" s="70">
        <v>2604.4</v>
      </c>
      <c r="BD31" s="70">
        <v>1927.9</v>
      </c>
      <c r="BE31" s="70">
        <v>1412</v>
      </c>
      <c r="BF31" s="70">
        <v>1410.2</v>
      </c>
      <c r="BG31" s="70">
        <v>706.6</v>
      </c>
      <c r="BH31" s="70">
        <v>743.6</v>
      </c>
      <c r="BI31" s="70">
        <v>750.8</v>
      </c>
      <c r="BJ31" s="70">
        <v>0</v>
      </c>
      <c r="BK31" s="70">
        <v>0</v>
      </c>
      <c r="BL31" s="70">
        <v>0</v>
      </c>
      <c r="BM31" s="70">
        <v>0</v>
      </c>
      <c r="BN31" s="70">
        <v>0</v>
      </c>
      <c r="BO31" s="70">
        <v>0</v>
      </c>
      <c r="BP31" s="70">
        <v>0</v>
      </c>
      <c r="BQ31" s="70">
        <v>0</v>
      </c>
      <c r="BR31" s="70">
        <v>0</v>
      </c>
      <c r="BS31" s="70">
        <v>0</v>
      </c>
      <c r="BT31" s="70">
        <v>14.3</v>
      </c>
      <c r="BU31" s="70">
        <v>0</v>
      </c>
      <c r="BV31" s="70">
        <v>0</v>
      </c>
      <c r="BW31" s="70">
        <v>0</v>
      </c>
      <c r="BX31" s="70">
        <v>0</v>
      </c>
      <c r="BY31" s="70">
        <v>0</v>
      </c>
      <c r="BZ31" s="70">
        <v>0</v>
      </c>
    </row>
    <row r="32" spans="1:78" ht="16.5" customHeight="1">
      <c r="A32" s="90" t="s">
        <v>25</v>
      </c>
      <c r="B32" s="53">
        <f>159.9+84.97</f>
        <v>244.87</v>
      </c>
      <c r="C32" s="54">
        <f>60.367+404.82</f>
        <v>465.187</v>
      </c>
      <c r="D32" s="55">
        <f>71.9+519.6</f>
        <v>591.5</v>
      </c>
      <c r="E32" s="56">
        <f>409.5+188.96</f>
        <v>598.46</v>
      </c>
      <c r="F32" s="57">
        <f>174.9+376.5</f>
        <v>551.4</v>
      </c>
      <c r="G32" s="58">
        <f>149.9+319.4</f>
        <v>469.29999999999995</v>
      </c>
      <c r="H32" s="57">
        <f>121.91+240.22</f>
        <v>362.13</v>
      </c>
      <c r="I32" s="57">
        <f>127.31+200.04</f>
        <v>327.35</v>
      </c>
      <c r="J32" s="58">
        <f>193.57+113.21</f>
        <v>306.78</v>
      </c>
      <c r="K32" s="58">
        <f>78.54+157</f>
        <v>235.54000000000002</v>
      </c>
      <c r="L32" s="60">
        <v>180.01</v>
      </c>
      <c r="M32" s="60">
        <v>190.6</v>
      </c>
      <c r="N32" s="60">
        <v>182.5095</v>
      </c>
      <c r="O32" s="59">
        <v>173.738443</v>
      </c>
      <c r="P32" s="59">
        <v>173.56944</v>
      </c>
      <c r="Q32" s="61">
        <v>168.9528</v>
      </c>
      <c r="R32" s="62">
        <v>176.13856</v>
      </c>
      <c r="S32" s="104">
        <v>186.5732</v>
      </c>
      <c r="T32" s="59">
        <v>173.55708</v>
      </c>
      <c r="U32" s="59">
        <v>169.7</v>
      </c>
      <c r="V32" s="61">
        <v>154.80994</v>
      </c>
      <c r="W32" s="64">
        <v>138.01863</v>
      </c>
      <c r="X32" s="64">
        <v>138.2304</v>
      </c>
      <c r="Y32" s="59">
        <v>140.3</v>
      </c>
      <c r="Z32" s="65">
        <v>140.5</v>
      </c>
      <c r="AA32" s="65">
        <v>141.4</v>
      </c>
      <c r="AB32" s="65">
        <v>142.5</v>
      </c>
      <c r="AC32" s="65">
        <v>127.3</v>
      </c>
      <c r="AD32" s="65">
        <v>126.8</v>
      </c>
      <c r="AE32" s="65">
        <v>130.2</v>
      </c>
      <c r="AF32" s="65">
        <v>127.1</v>
      </c>
      <c r="AG32" s="65">
        <v>128.3</v>
      </c>
      <c r="AH32" s="65">
        <v>128.36314</v>
      </c>
      <c r="AI32" s="65">
        <v>110.4</v>
      </c>
      <c r="AJ32" s="60">
        <v>101.2</v>
      </c>
      <c r="AK32" s="59">
        <v>104.7</v>
      </c>
      <c r="AL32" s="59">
        <v>105.7</v>
      </c>
      <c r="AM32" s="59">
        <v>107.3</v>
      </c>
      <c r="AN32" s="59">
        <v>104.2</v>
      </c>
      <c r="AO32" s="60">
        <v>96.8</v>
      </c>
      <c r="AP32" s="64">
        <v>90.1</v>
      </c>
      <c r="AQ32" s="65">
        <v>89.4</v>
      </c>
      <c r="AR32" s="59">
        <v>89.6</v>
      </c>
      <c r="AS32" s="60">
        <v>91</v>
      </c>
      <c r="AT32" s="64">
        <v>89.5</v>
      </c>
      <c r="AU32" s="65">
        <v>89.7</v>
      </c>
      <c r="AV32" s="60">
        <v>82.3</v>
      </c>
      <c r="AW32" s="60">
        <v>82.3</v>
      </c>
      <c r="AX32" s="60">
        <v>82.8</v>
      </c>
      <c r="AY32" s="60">
        <v>82</v>
      </c>
      <c r="AZ32" s="60">
        <v>81.9</v>
      </c>
      <c r="BA32" s="70">
        <v>80.9</v>
      </c>
      <c r="BB32" s="70">
        <v>71.9</v>
      </c>
      <c r="BC32" s="70">
        <v>72</v>
      </c>
      <c r="BD32" s="70">
        <v>72.8</v>
      </c>
      <c r="BE32" s="70">
        <v>72.8</v>
      </c>
      <c r="BF32" s="70">
        <v>72.8</v>
      </c>
      <c r="BG32" s="70">
        <v>64.2</v>
      </c>
      <c r="BH32" s="70">
        <v>65</v>
      </c>
      <c r="BI32" s="70">
        <v>73.7</v>
      </c>
      <c r="BJ32" s="70">
        <v>72.3</v>
      </c>
      <c r="BK32" s="70">
        <v>73.2</v>
      </c>
      <c r="BL32" s="70">
        <v>72.9</v>
      </c>
      <c r="BM32" s="70">
        <v>63.5</v>
      </c>
      <c r="BN32" s="70">
        <v>64</v>
      </c>
      <c r="BO32" s="70">
        <v>61.7</v>
      </c>
      <c r="BP32" s="70">
        <v>60.7</v>
      </c>
      <c r="BQ32" s="70">
        <v>60.1</v>
      </c>
      <c r="BR32" s="70">
        <v>60.3</v>
      </c>
      <c r="BS32" s="70">
        <v>50.2</v>
      </c>
      <c r="BT32" s="70">
        <v>51.9</v>
      </c>
      <c r="BU32" s="70">
        <v>50.8</v>
      </c>
      <c r="BV32" s="70">
        <v>50.94</v>
      </c>
      <c r="BW32" s="70">
        <v>51</v>
      </c>
      <c r="BX32" s="70">
        <v>50.6</v>
      </c>
      <c r="BY32" s="70">
        <v>40.6</v>
      </c>
      <c r="BZ32" s="70">
        <v>41.1</v>
      </c>
    </row>
    <row r="33" spans="1:78" ht="16.5" customHeight="1">
      <c r="A33" s="90" t="s">
        <v>26</v>
      </c>
      <c r="B33" s="53">
        <f>403.11+128.5</f>
        <v>531.61</v>
      </c>
      <c r="C33" s="54">
        <f>286.43+137.43</f>
        <v>423.86</v>
      </c>
      <c r="D33" s="55">
        <v>0</v>
      </c>
      <c r="E33" s="56">
        <v>0</v>
      </c>
      <c r="F33" s="57">
        <v>0</v>
      </c>
      <c r="G33" s="58">
        <v>0</v>
      </c>
      <c r="H33" s="57">
        <v>0</v>
      </c>
      <c r="I33" s="57">
        <v>0</v>
      </c>
      <c r="J33" s="58">
        <v>0</v>
      </c>
      <c r="K33" s="58">
        <v>0</v>
      </c>
      <c r="L33" s="60">
        <v>0</v>
      </c>
      <c r="M33" s="60">
        <v>0</v>
      </c>
      <c r="N33" s="60">
        <v>0</v>
      </c>
      <c r="O33" s="59">
        <v>0</v>
      </c>
      <c r="P33" s="59">
        <v>0</v>
      </c>
      <c r="Q33" s="106">
        <v>0</v>
      </c>
      <c r="R33" s="62">
        <v>0</v>
      </c>
      <c r="S33" s="104">
        <v>0</v>
      </c>
      <c r="T33" s="59">
        <v>0</v>
      </c>
      <c r="U33" s="59">
        <v>0</v>
      </c>
      <c r="V33" s="61">
        <v>0</v>
      </c>
      <c r="W33" s="64">
        <v>0</v>
      </c>
      <c r="X33" s="64">
        <v>0</v>
      </c>
      <c r="Y33" s="59">
        <v>0</v>
      </c>
      <c r="Z33" s="65">
        <v>0</v>
      </c>
      <c r="AA33" s="65">
        <v>0</v>
      </c>
      <c r="AB33" s="65">
        <v>0</v>
      </c>
      <c r="AC33" s="65">
        <v>0</v>
      </c>
      <c r="AD33" s="65">
        <v>0</v>
      </c>
      <c r="AE33" s="65">
        <v>0</v>
      </c>
      <c r="AF33" s="65">
        <v>0</v>
      </c>
      <c r="AG33" s="65">
        <v>0</v>
      </c>
      <c r="AH33" s="65">
        <v>0</v>
      </c>
      <c r="AI33" s="65">
        <v>0</v>
      </c>
      <c r="AJ33" s="60">
        <v>0</v>
      </c>
      <c r="AK33" s="59">
        <v>0</v>
      </c>
      <c r="AL33" s="59">
        <v>0</v>
      </c>
      <c r="AM33" s="59">
        <v>0</v>
      </c>
      <c r="AN33" s="59">
        <v>0</v>
      </c>
      <c r="AO33" s="60">
        <v>0</v>
      </c>
      <c r="AP33" s="64">
        <v>0</v>
      </c>
      <c r="AQ33" s="65">
        <v>0</v>
      </c>
      <c r="AR33" s="59">
        <v>0</v>
      </c>
      <c r="AS33" s="60">
        <v>0</v>
      </c>
      <c r="AT33" s="64">
        <v>0</v>
      </c>
      <c r="AU33" s="65">
        <v>0</v>
      </c>
      <c r="AV33" s="60">
        <v>0</v>
      </c>
      <c r="AW33" s="60">
        <v>0</v>
      </c>
      <c r="AX33" s="60">
        <v>0</v>
      </c>
      <c r="AY33" s="60">
        <v>0</v>
      </c>
      <c r="AZ33" s="60">
        <v>0</v>
      </c>
      <c r="BA33" s="70">
        <v>0</v>
      </c>
      <c r="BB33" s="70">
        <v>0</v>
      </c>
      <c r="BC33" s="70">
        <v>0</v>
      </c>
      <c r="BD33" s="70">
        <v>0</v>
      </c>
      <c r="BE33" s="70">
        <v>0</v>
      </c>
      <c r="BF33" s="70">
        <v>0</v>
      </c>
      <c r="BG33" s="70">
        <v>0</v>
      </c>
      <c r="BH33" s="70">
        <v>0</v>
      </c>
      <c r="BI33" s="70">
        <v>0</v>
      </c>
      <c r="BJ33" s="70">
        <v>0</v>
      </c>
      <c r="BK33" s="70">
        <v>0</v>
      </c>
      <c r="BL33" s="70">
        <v>0</v>
      </c>
      <c r="BM33" s="70">
        <v>0</v>
      </c>
      <c r="BN33" s="70">
        <v>0</v>
      </c>
      <c r="BO33" s="70">
        <v>0</v>
      </c>
      <c r="BP33" s="70">
        <v>0</v>
      </c>
      <c r="BQ33" s="70">
        <v>0</v>
      </c>
      <c r="BR33" s="70">
        <v>0</v>
      </c>
      <c r="BS33" s="70">
        <v>0</v>
      </c>
      <c r="BT33" s="70">
        <v>0</v>
      </c>
      <c r="BU33" s="70">
        <v>0</v>
      </c>
      <c r="BV33" s="70">
        <v>0</v>
      </c>
      <c r="BW33" s="70">
        <v>0</v>
      </c>
      <c r="BX33" s="70">
        <v>0</v>
      </c>
      <c r="BY33" s="70">
        <v>0</v>
      </c>
      <c r="BZ33" s="70">
        <v>0</v>
      </c>
    </row>
    <row r="34" spans="1:78" ht="16.5" customHeight="1">
      <c r="A34" s="90" t="s">
        <v>27</v>
      </c>
      <c r="B34" s="53">
        <v>0</v>
      </c>
      <c r="C34" s="54">
        <v>0</v>
      </c>
      <c r="D34" s="55">
        <v>0</v>
      </c>
      <c r="E34" s="56">
        <v>415.34</v>
      </c>
      <c r="F34" s="57">
        <v>562.8</v>
      </c>
      <c r="G34" s="58">
        <v>844.25</v>
      </c>
      <c r="H34" s="57">
        <v>802.81558</v>
      </c>
      <c r="I34" s="57">
        <v>887.3</v>
      </c>
      <c r="J34" s="58">
        <v>714.93</v>
      </c>
      <c r="K34" s="58">
        <v>623.19</v>
      </c>
      <c r="L34" s="60">
        <v>806.8</v>
      </c>
      <c r="M34" s="60">
        <v>783.3</v>
      </c>
      <c r="N34" s="60">
        <v>783.99</v>
      </c>
      <c r="O34" s="59">
        <v>750.00043</v>
      </c>
      <c r="P34" s="59">
        <v>724.42832</v>
      </c>
      <c r="Q34" s="61">
        <v>739.27152</v>
      </c>
      <c r="R34" s="62">
        <v>727.84179</v>
      </c>
      <c r="S34" s="104">
        <v>750.5331</v>
      </c>
      <c r="T34" s="59">
        <v>718.29828</v>
      </c>
      <c r="U34" s="59">
        <v>741.4</v>
      </c>
      <c r="V34" s="61">
        <v>744.64446</v>
      </c>
      <c r="W34" s="64">
        <v>762.80328</v>
      </c>
      <c r="X34" s="64">
        <v>750.8</v>
      </c>
      <c r="Y34" s="59">
        <v>756.6</v>
      </c>
      <c r="Z34" s="65">
        <v>750.1</v>
      </c>
      <c r="AA34" s="65">
        <v>756.3</v>
      </c>
      <c r="AB34" s="65">
        <v>776.5</v>
      </c>
      <c r="AC34" s="65">
        <v>803.3</v>
      </c>
      <c r="AD34" s="65">
        <v>753.7</v>
      </c>
      <c r="AE34" s="65">
        <v>813.35</v>
      </c>
      <c r="AF34" s="65">
        <v>782.2</v>
      </c>
      <c r="AG34" s="65">
        <v>782</v>
      </c>
      <c r="AH34" s="65">
        <v>764.2823</v>
      </c>
      <c r="AI34" s="65">
        <v>764.7</v>
      </c>
      <c r="AJ34" s="60">
        <v>700.4</v>
      </c>
      <c r="AK34" s="59">
        <v>669.73</v>
      </c>
      <c r="AL34" s="59">
        <v>676</v>
      </c>
      <c r="AM34" s="59">
        <v>703.4</v>
      </c>
      <c r="AN34" s="59">
        <v>679.34</v>
      </c>
      <c r="AO34" s="60">
        <v>677.1</v>
      </c>
      <c r="AP34" s="64">
        <v>641.23</v>
      </c>
      <c r="AQ34" s="65">
        <v>633.4</v>
      </c>
      <c r="AR34" s="59">
        <v>625.6</v>
      </c>
      <c r="AS34" s="60">
        <v>630.7</v>
      </c>
      <c r="AT34" s="64">
        <v>610.5</v>
      </c>
      <c r="AU34" s="65">
        <v>606.2</v>
      </c>
      <c r="AV34" s="60">
        <v>567.9</v>
      </c>
      <c r="AW34" s="60">
        <v>551.4</v>
      </c>
      <c r="AX34" s="60">
        <v>544.44</v>
      </c>
      <c r="AY34" s="60">
        <v>542.7</v>
      </c>
      <c r="AZ34" s="60">
        <v>545.6</v>
      </c>
      <c r="BA34" s="70">
        <v>554.2</v>
      </c>
      <c r="BB34" s="70">
        <v>526</v>
      </c>
      <c r="BC34" s="70">
        <v>528.94</v>
      </c>
      <c r="BD34" s="70">
        <v>539.7</v>
      </c>
      <c r="BE34" s="70">
        <v>547.9</v>
      </c>
      <c r="BF34" s="70">
        <v>547.84</v>
      </c>
      <c r="BG34" s="70">
        <v>545.1</v>
      </c>
      <c r="BH34" s="70">
        <v>521.8</v>
      </c>
      <c r="BI34" s="70">
        <v>506.9</v>
      </c>
      <c r="BJ34" s="70">
        <v>518.8</v>
      </c>
      <c r="BK34" s="70">
        <v>528.7</v>
      </c>
      <c r="BL34" s="70">
        <v>538.3</v>
      </c>
      <c r="BM34" s="70">
        <v>532.7</v>
      </c>
      <c r="BN34" s="70">
        <v>493.4</v>
      </c>
      <c r="BO34" s="70">
        <v>470.7</v>
      </c>
      <c r="BP34" s="70">
        <v>456.1</v>
      </c>
      <c r="BQ34" s="70">
        <v>449.2</v>
      </c>
      <c r="BR34" s="70">
        <v>468.9</v>
      </c>
      <c r="BS34" s="70">
        <v>481.5</v>
      </c>
      <c r="BT34" s="70">
        <v>424.1</v>
      </c>
      <c r="BU34" s="70">
        <v>418.85</v>
      </c>
      <c r="BV34" s="70">
        <v>429</v>
      </c>
      <c r="BW34" s="70">
        <v>431.73</v>
      </c>
      <c r="BX34" s="70">
        <v>446.8</v>
      </c>
      <c r="BY34" s="70">
        <v>440.34</v>
      </c>
      <c r="BZ34" s="70">
        <v>411.4</v>
      </c>
    </row>
    <row r="35" spans="1:78" ht="15">
      <c r="A35" s="90" t="s">
        <v>28</v>
      </c>
      <c r="B35" s="53">
        <v>112.24</v>
      </c>
      <c r="C35" s="54">
        <v>97.3</v>
      </c>
      <c r="D35" s="55">
        <v>0</v>
      </c>
      <c r="E35" s="56">
        <v>0</v>
      </c>
      <c r="F35" s="57">
        <v>0</v>
      </c>
      <c r="G35" s="58">
        <v>0</v>
      </c>
      <c r="H35" s="57">
        <v>0</v>
      </c>
      <c r="I35" s="57">
        <v>0</v>
      </c>
      <c r="J35" s="58">
        <v>0</v>
      </c>
      <c r="K35" s="58">
        <v>0</v>
      </c>
      <c r="L35" s="60">
        <v>0</v>
      </c>
      <c r="M35" s="60">
        <v>0</v>
      </c>
      <c r="N35" s="60">
        <v>0</v>
      </c>
      <c r="O35" s="59">
        <v>0</v>
      </c>
      <c r="P35" s="59">
        <v>0</v>
      </c>
      <c r="Q35" s="61">
        <v>0</v>
      </c>
      <c r="R35" s="62">
        <v>0</v>
      </c>
      <c r="S35" s="104">
        <v>0</v>
      </c>
      <c r="T35" s="59">
        <v>0</v>
      </c>
      <c r="U35" s="59">
        <v>0</v>
      </c>
      <c r="V35" s="61">
        <v>0</v>
      </c>
      <c r="W35" s="64">
        <v>0</v>
      </c>
      <c r="X35" s="64">
        <v>0</v>
      </c>
      <c r="Y35" s="59">
        <v>0</v>
      </c>
      <c r="Z35" s="65">
        <v>0</v>
      </c>
      <c r="AA35" s="65">
        <v>0</v>
      </c>
      <c r="AB35" s="65">
        <v>0</v>
      </c>
      <c r="AC35" s="65">
        <v>0</v>
      </c>
      <c r="AD35" s="65">
        <v>0</v>
      </c>
      <c r="AE35" s="65">
        <v>0</v>
      </c>
      <c r="AF35" s="65">
        <v>0</v>
      </c>
      <c r="AG35" s="65">
        <v>0</v>
      </c>
      <c r="AH35" s="65">
        <v>0</v>
      </c>
      <c r="AI35" s="65">
        <v>0</v>
      </c>
      <c r="AJ35" s="60">
        <v>0</v>
      </c>
      <c r="AK35" s="59">
        <v>0</v>
      </c>
      <c r="AL35" s="59">
        <v>0</v>
      </c>
      <c r="AM35" s="59">
        <v>0</v>
      </c>
      <c r="AN35" s="59">
        <v>0</v>
      </c>
      <c r="AO35" s="60">
        <v>0</v>
      </c>
      <c r="AP35" s="64">
        <v>0</v>
      </c>
      <c r="AQ35" s="65">
        <v>0</v>
      </c>
      <c r="AR35" s="59">
        <v>0</v>
      </c>
      <c r="AS35" s="60">
        <v>0</v>
      </c>
      <c r="AT35" s="64">
        <v>0</v>
      </c>
      <c r="AU35" s="65">
        <v>0</v>
      </c>
      <c r="AV35" s="60">
        <v>0</v>
      </c>
      <c r="AW35" s="60">
        <v>0</v>
      </c>
      <c r="AX35" s="60">
        <v>0</v>
      </c>
      <c r="AY35" s="60">
        <v>0</v>
      </c>
      <c r="AZ35" s="60">
        <v>0</v>
      </c>
      <c r="BA35" s="70">
        <v>0</v>
      </c>
      <c r="BB35" s="70">
        <v>0</v>
      </c>
      <c r="BC35" s="70">
        <v>0</v>
      </c>
      <c r="BD35" s="70">
        <v>0</v>
      </c>
      <c r="BE35" s="70">
        <v>0</v>
      </c>
      <c r="BF35" s="70">
        <v>0</v>
      </c>
      <c r="BG35" s="70">
        <v>0</v>
      </c>
      <c r="BH35" s="70">
        <v>0</v>
      </c>
      <c r="BI35" s="70">
        <v>0</v>
      </c>
      <c r="BJ35" s="70">
        <v>0</v>
      </c>
      <c r="BK35" s="70">
        <v>0</v>
      </c>
      <c r="BL35" s="70">
        <v>0</v>
      </c>
      <c r="BM35" s="70">
        <v>0</v>
      </c>
      <c r="BN35" s="70">
        <v>0</v>
      </c>
      <c r="BO35" s="70">
        <v>0</v>
      </c>
      <c r="BP35" s="70">
        <v>0</v>
      </c>
      <c r="BQ35" s="70">
        <v>0</v>
      </c>
      <c r="BR35" s="70">
        <v>0</v>
      </c>
      <c r="BS35" s="70">
        <v>0</v>
      </c>
      <c r="BT35" s="70">
        <v>0</v>
      </c>
      <c r="BU35" s="70">
        <v>0</v>
      </c>
      <c r="BV35" s="70">
        <v>0</v>
      </c>
      <c r="BW35" s="70">
        <v>0</v>
      </c>
      <c r="BX35" s="70">
        <v>0</v>
      </c>
      <c r="BY35" s="70">
        <v>0</v>
      </c>
      <c r="BZ35" s="70">
        <v>0</v>
      </c>
    </row>
    <row r="36" spans="1:78" ht="16.5" customHeight="1">
      <c r="A36" s="90" t="s">
        <v>29</v>
      </c>
      <c r="B36" s="53">
        <f>14.8+944.5</f>
        <v>959.3</v>
      </c>
      <c r="C36" s="54">
        <f>123.14+259.95</f>
        <v>383.09</v>
      </c>
      <c r="D36" s="55">
        <f>158.03+344.3</f>
        <v>502.33000000000004</v>
      </c>
      <c r="E36" s="56">
        <f>549.8+319.97</f>
        <v>869.77</v>
      </c>
      <c r="F36" s="57">
        <f>431.7+555.92</f>
        <v>987.6199999999999</v>
      </c>
      <c r="G36" s="58">
        <f>667.54+641.73</f>
        <v>1309.27</v>
      </c>
      <c r="H36" s="57">
        <f>489.64+790.32</f>
        <v>1279.96</v>
      </c>
      <c r="I36" s="57">
        <f>107.1+1203.41</f>
        <v>1310.51</v>
      </c>
      <c r="J36" s="58">
        <f>118.5+1795.48</f>
        <v>1913.98</v>
      </c>
      <c r="K36" s="58">
        <f>1818.92+85.95</f>
        <v>1904.8700000000001</v>
      </c>
      <c r="L36" s="60">
        <v>2542.56</v>
      </c>
      <c r="M36" s="60">
        <v>2447</v>
      </c>
      <c r="N36" s="60">
        <v>2391.591</v>
      </c>
      <c r="O36" s="59">
        <v>2206.268407</v>
      </c>
      <c r="P36" s="59">
        <v>2143.54184</v>
      </c>
      <c r="Q36" s="61">
        <v>2241.30312</v>
      </c>
      <c r="R36" s="62">
        <v>2333.83592</v>
      </c>
      <c r="S36" s="104">
        <v>2462.76624</v>
      </c>
      <c r="T36" s="59">
        <v>2464.84836</v>
      </c>
      <c r="U36" s="59">
        <v>2716.9</v>
      </c>
      <c r="V36" s="61">
        <v>2587.66112</v>
      </c>
      <c r="W36" s="64">
        <v>2785.18983</v>
      </c>
      <c r="X36" s="64">
        <v>2840</v>
      </c>
      <c r="Y36" s="59">
        <v>2856.2</v>
      </c>
      <c r="Z36" s="65">
        <v>2642.6</v>
      </c>
      <c r="AA36" s="65">
        <v>2612.6</v>
      </c>
      <c r="AB36" s="65">
        <v>2727</v>
      </c>
      <c r="AC36" s="65">
        <v>3000.6</v>
      </c>
      <c r="AD36" s="65">
        <v>2960.2</v>
      </c>
      <c r="AE36" s="65">
        <v>3160.65</v>
      </c>
      <c r="AF36" s="65">
        <v>2973.6</v>
      </c>
      <c r="AG36" s="65">
        <v>2936.5</v>
      </c>
      <c r="AH36" s="65">
        <v>2849.38956</v>
      </c>
      <c r="AI36" s="65">
        <v>2771.1</v>
      </c>
      <c r="AJ36" s="60">
        <v>2543.4</v>
      </c>
      <c r="AK36" s="59">
        <v>2318.53</v>
      </c>
      <c r="AL36" s="59">
        <v>2341.8</v>
      </c>
      <c r="AM36" s="59">
        <v>2389.6</v>
      </c>
      <c r="AN36" s="59">
        <v>2217.64</v>
      </c>
      <c r="AO36" s="60">
        <v>2185.8</v>
      </c>
      <c r="AP36" s="64">
        <v>2237.44</v>
      </c>
      <c r="AQ36" s="65">
        <v>2206.4</v>
      </c>
      <c r="AR36" s="59">
        <v>2205</v>
      </c>
      <c r="AS36" s="60">
        <v>2163.3</v>
      </c>
      <c r="AT36" s="64">
        <v>2123.6</v>
      </c>
      <c r="AU36" s="65">
        <v>2060.7</v>
      </c>
      <c r="AV36" s="60">
        <v>1991.5</v>
      </c>
      <c r="AW36" s="60">
        <v>2084.3</v>
      </c>
      <c r="AX36" s="60">
        <v>2039.64</v>
      </c>
      <c r="AY36" s="60">
        <v>1978.2</v>
      </c>
      <c r="AZ36" s="60">
        <v>1987.5</v>
      </c>
      <c r="BA36" s="70">
        <v>2014.1</v>
      </c>
      <c r="BB36" s="70">
        <v>1992.1</v>
      </c>
      <c r="BC36" s="70">
        <v>2017.64</v>
      </c>
      <c r="BD36" s="70">
        <v>2007.3</v>
      </c>
      <c r="BE36" s="70">
        <v>1978.5</v>
      </c>
      <c r="BF36" s="70">
        <v>1944.84</v>
      </c>
      <c r="BG36" s="70">
        <v>1862.8</v>
      </c>
      <c r="BH36" s="70">
        <v>1898</v>
      </c>
      <c r="BI36" s="70">
        <v>2047.9</v>
      </c>
      <c r="BJ36" s="70">
        <v>2018.9</v>
      </c>
      <c r="BK36" s="70">
        <v>2049.7</v>
      </c>
      <c r="BL36" s="70">
        <v>1989.5</v>
      </c>
      <c r="BM36" s="70">
        <v>1958.3</v>
      </c>
      <c r="BN36" s="70">
        <v>1944.6</v>
      </c>
      <c r="BO36" s="70">
        <v>1924.5</v>
      </c>
      <c r="BP36" s="70">
        <v>1922.1</v>
      </c>
      <c r="BQ36" s="70">
        <v>1900.5</v>
      </c>
      <c r="BR36" s="70">
        <v>1956.8</v>
      </c>
      <c r="BS36" s="70">
        <v>2002.9</v>
      </c>
      <c r="BT36" s="70">
        <v>2012.1</v>
      </c>
      <c r="BU36" s="70">
        <v>2014.75</v>
      </c>
      <c r="BV36" s="70">
        <v>2109.94</v>
      </c>
      <c r="BW36" s="70">
        <v>1993.54</v>
      </c>
      <c r="BX36" s="70">
        <v>2092.3</v>
      </c>
      <c r="BY36" s="70">
        <v>2075.74</v>
      </c>
      <c r="BZ36" s="70">
        <v>2250.5</v>
      </c>
    </row>
    <row r="37" spans="1:78" ht="16.5" customHeight="1">
      <c r="A37" s="90" t="s">
        <v>30</v>
      </c>
      <c r="B37" s="53">
        <v>26.6</v>
      </c>
      <c r="C37" s="54">
        <v>25.372391</v>
      </c>
      <c r="D37" s="55">
        <v>0</v>
      </c>
      <c r="E37" s="56">
        <v>0</v>
      </c>
      <c r="F37" s="57">
        <v>0</v>
      </c>
      <c r="G37" s="58">
        <v>0</v>
      </c>
      <c r="H37" s="57">
        <v>0</v>
      </c>
      <c r="I37" s="57">
        <v>0</v>
      </c>
      <c r="J37" s="58">
        <v>0</v>
      </c>
      <c r="K37" s="58">
        <v>0</v>
      </c>
      <c r="L37" s="60">
        <v>0</v>
      </c>
      <c r="M37" s="60">
        <v>0</v>
      </c>
      <c r="N37" s="60">
        <v>0</v>
      </c>
      <c r="O37" s="59">
        <v>0</v>
      </c>
      <c r="P37" s="59">
        <v>0</v>
      </c>
      <c r="Q37" s="106">
        <v>0</v>
      </c>
      <c r="R37" s="62">
        <v>0</v>
      </c>
      <c r="S37" s="104">
        <v>0</v>
      </c>
      <c r="T37" s="59">
        <v>0</v>
      </c>
      <c r="U37" s="59">
        <v>0</v>
      </c>
      <c r="V37" s="61">
        <v>0</v>
      </c>
      <c r="W37" s="64">
        <v>0</v>
      </c>
      <c r="X37" s="64">
        <v>0</v>
      </c>
      <c r="Y37" s="59">
        <v>0</v>
      </c>
      <c r="Z37" s="65">
        <v>0</v>
      </c>
      <c r="AA37" s="65">
        <v>0</v>
      </c>
      <c r="AB37" s="65">
        <v>0</v>
      </c>
      <c r="AC37" s="65">
        <v>0</v>
      </c>
      <c r="AD37" s="65">
        <v>0</v>
      </c>
      <c r="AE37" s="65">
        <v>0</v>
      </c>
      <c r="AF37" s="65">
        <v>0</v>
      </c>
      <c r="AG37" s="65">
        <v>0</v>
      </c>
      <c r="AH37" s="65">
        <v>0</v>
      </c>
      <c r="AI37" s="65">
        <v>0</v>
      </c>
      <c r="AJ37" s="60">
        <v>0</v>
      </c>
      <c r="AK37" s="59">
        <v>0</v>
      </c>
      <c r="AL37" s="59">
        <v>0</v>
      </c>
      <c r="AM37" s="59">
        <v>0</v>
      </c>
      <c r="AN37" s="59">
        <v>0</v>
      </c>
      <c r="AO37" s="60">
        <v>0</v>
      </c>
      <c r="AP37" s="64">
        <v>0</v>
      </c>
      <c r="AQ37" s="65">
        <v>0</v>
      </c>
      <c r="AR37" s="59">
        <v>0</v>
      </c>
      <c r="AS37" s="60">
        <v>0</v>
      </c>
      <c r="AT37" s="64">
        <v>0</v>
      </c>
      <c r="AU37" s="65">
        <v>0</v>
      </c>
      <c r="AV37" s="60">
        <v>0</v>
      </c>
      <c r="AW37" s="60">
        <v>0</v>
      </c>
      <c r="AX37" s="60">
        <v>0</v>
      </c>
      <c r="AY37" s="60">
        <v>0</v>
      </c>
      <c r="AZ37" s="60">
        <v>0</v>
      </c>
      <c r="BA37" s="70">
        <v>0</v>
      </c>
      <c r="BB37" s="70">
        <v>0</v>
      </c>
      <c r="BC37" s="70">
        <v>0</v>
      </c>
      <c r="BD37" s="70">
        <v>0</v>
      </c>
      <c r="BE37" s="70">
        <v>0</v>
      </c>
      <c r="BF37" s="70">
        <v>0</v>
      </c>
      <c r="BG37" s="70">
        <v>0</v>
      </c>
      <c r="BH37" s="70">
        <v>0</v>
      </c>
      <c r="BI37" s="70">
        <v>0</v>
      </c>
      <c r="BJ37" s="70">
        <v>0</v>
      </c>
      <c r="BK37" s="70">
        <v>0</v>
      </c>
      <c r="BL37" s="70">
        <v>0</v>
      </c>
      <c r="BM37" s="70">
        <v>0</v>
      </c>
      <c r="BN37" s="70">
        <v>0</v>
      </c>
      <c r="BO37" s="70">
        <v>0</v>
      </c>
      <c r="BP37" s="70">
        <v>0</v>
      </c>
      <c r="BQ37" s="70">
        <v>0</v>
      </c>
      <c r="BR37" s="70">
        <v>0</v>
      </c>
      <c r="BS37" s="70">
        <v>0</v>
      </c>
      <c r="BT37" s="70">
        <v>0</v>
      </c>
      <c r="BU37" s="70">
        <v>0</v>
      </c>
      <c r="BV37" s="70">
        <v>0</v>
      </c>
      <c r="BW37" s="70">
        <v>0</v>
      </c>
      <c r="BX37" s="70">
        <v>0</v>
      </c>
      <c r="BY37" s="70">
        <v>0</v>
      </c>
      <c r="BZ37" s="70">
        <v>0</v>
      </c>
    </row>
    <row r="38" spans="1:78" ht="16.5" customHeight="1">
      <c r="A38" s="90" t="s">
        <v>31</v>
      </c>
      <c r="B38" s="53">
        <v>9.7</v>
      </c>
      <c r="C38" s="54">
        <v>6.761758</v>
      </c>
      <c r="D38" s="55">
        <v>2.814</v>
      </c>
      <c r="E38" s="56">
        <v>0</v>
      </c>
      <c r="F38" s="57">
        <v>0</v>
      </c>
      <c r="G38" s="58">
        <v>0</v>
      </c>
      <c r="H38" s="57">
        <v>0</v>
      </c>
      <c r="I38" s="57">
        <v>0</v>
      </c>
      <c r="J38" s="58">
        <v>0</v>
      </c>
      <c r="K38" s="58">
        <v>0</v>
      </c>
      <c r="L38" s="60">
        <v>0</v>
      </c>
      <c r="M38" s="60">
        <v>0</v>
      </c>
      <c r="N38" s="60">
        <v>0</v>
      </c>
      <c r="O38" s="59">
        <v>0</v>
      </c>
      <c r="P38" s="59">
        <v>0</v>
      </c>
      <c r="Q38" s="61">
        <v>0</v>
      </c>
      <c r="R38" s="62">
        <v>0</v>
      </c>
      <c r="S38" s="104">
        <v>0</v>
      </c>
      <c r="T38" s="59">
        <v>0</v>
      </c>
      <c r="U38" s="59">
        <v>0</v>
      </c>
      <c r="V38" s="61">
        <v>0</v>
      </c>
      <c r="W38" s="64">
        <v>0</v>
      </c>
      <c r="X38" s="64">
        <v>0</v>
      </c>
      <c r="Y38" s="59">
        <v>0</v>
      </c>
      <c r="Z38" s="65">
        <v>0</v>
      </c>
      <c r="AA38" s="65">
        <v>0</v>
      </c>
      <c r="AB38" s="65">
        <v>0</v>
      </c>
      <c r="AC38" s="65">
        <v>0</v>
      </c>
      <c r="AD38" s="65">
        <v>0</v>
      </c>
      <c r="AE38" s="65">
        <v>0</v>
      </c>
      <c r="AF38" s="65">
        <v>0</v>
      </c>
      <c r="AG38" s="65">
        <v>0</v>
      </c>
      <c r="AH38" s="65">
        <v>0</v>
      </c>
      <c r="AI38" s="65">
        <v>0</v>
      </c>
      <c r="AJ38" s="60">
        <v>0</v>
      </c>
      <c r="AK38" s="59">
        <v>0</v>
      </c>
      <c r="AL38" s="59">
        <v>0</v>
      </c>
      <c r="AM38" s="59">
        <v>0</v>
      </c>
      <c r="AN38" s="59">
        <v>0</v>
      </c>
      <c r="AO38" s="60">
        <v>0</v>
      </c>
      <c r="AP38" s="64">
        <v>0</v>
      </c>
      <c r="AQ38" s="65">
        <v>0</v>
      </c>
      <c r="AR38" s="59">
        <v>0</v>
      </c>
      <c r="AS38" s="60">
        <v>0</v>
      </c>
      <c r="AT38" s="64">
        <v>0</v>
      </c>
      <c r="AU38" s="65">
        <v>0</v>
      </c>
      <c r="AV38" s="60">
        <v>0</v>
      </c>
      <c r="AW38" s="60">
        <v>0</v>
      </c>
      <c r="AX38" s="60">
        <v>0</v>
      </c>
      <c r="AY38" s="60">
        <v>0</v>
      </c>
      <c r="AZ38" s="60">
        <v>0</v>
      </c>
      <c r="BA38" s="70">
        <v>0</v>
      </c>
      <c r="BB38" s="70">
        <v>0</v>
      </c>
      <c r="BC38" s="70">
        <v>0</v>
      </c>
      <c r="BD38" s="70">
        <v>0</v>
      </c>
      <c r="BE38" s="70">
        <v>0</v>
      </c>
      <c r="BF38" s="70">
        <v>0</v>
      </c>
      <c r="BG38" s="70">
        <v>0</v>
      </c>
      <c r="BH38" s="70">
        <v>0</v>
      </c>
      <c r="BI38" s="70">
        <v>0</v>
      </c>
      <c r="BJ38" s="70">
        <v>0</v>
      </c>
      <c r="BK38" s="70">
        <v>0</v>
      </c>
      <c r="BL38" s="70">
        <v>0</v>
      </c>
      <c r="BM38" s="70">
        <v>0</v>
      </c>
      <c r="BN38" s="70">
        <v>0</v>
      </c>
      <c r="BO38" s="70">
        <v>0</v>
      </c>
      <c r="BP38" s="70">
        <v>0</v>
      </c>
      <c r="BQ38" s="70">
        <v>0</v>
      </c>
      <c r="BR38" s="70">
        <v>0</v>
      </c>
      <c r="BS38" s="70">
        <v>0</v>
      </c>
      <c r="BT38" s="70">
        <v>0</v>
      </c>
      <c r="BU38" s="70">
        <v>0</v>
      </c>
      <c r="BV38" s="70">
        <v>0</v>
      </c>
      <c r="BW38" s="70">
        <v>0</v>
      </c>
      <c r="BX38" s="70">
        <v>0</v>
      </c>
      <c r="BY38" s="70">
        <v>0</v>
      </c>
      <c r="BZ38" s="70">
        <v>0</v>
      </c>
    </row>
    <row r="39" spans="1:78" ht="16.5" customHeight="1">
      <c r="A39" s="90" t="s">
        <v>32</v>
      </c>
      <c r="B39" s="53">
        <f>73.67+51.6</f>
        <v>125.27000000000001</v>
      </c>
      <c r="C39" s="54">
        <f>82.09+62.098</f>
        <v>144.188</v>
      </c>
      <c r="D39" s="55">
        <f>107.2+84.1</f>
        <v>191.3</v>
      </c>
      <c r="E39" s="56">
        <f>75.6+105.6</f>
        <v>181.2</v>
      </c>
      <c r="F39" s="57">
        <f>70.48+108.73</f>
        <v>179.21</v>
      </c>
      <c r="G39" s="58">
        <f>119.1+69.33</f>
        <v>188.43</v>
      </c>
      <c r="H39" s="57">
        <f>106.93+55.26</f>
        <v>162.19</v>
      </c>
      <c r="I39" s="57">
        <f>109.16+44.47</f>
        <v>153.63</v>
      </c>
      <c r="J39" s="58">
        <v>124.3</v>
      </c>
      <c r="K39" s="58">
        <f>29.96+98.5</f>
        <v>128.46</v>
      </c>
      <c r="L39" s="60">
        <v>129.4</v>
      </c>
      <c r="M39" s="60">
        <v>126.8</v>
      </c>
      <c r="N39" s="60">
        <v>120.1275</v>
      </c>
      <c r="O39" s="59">
        <v>113.713724</v>
      </c>
      <c r="P39" s="59">
        <v>110.41624</v>
      </c>
      <c r="Q39" s="61">
        <v>114.14616</v>
      </c>
      <c r="R39" s="62">
        <v>118.13139</v>
      </c>
      <c r="S39" s="104">
        <v>52.57972</v>
      </c>
      <c r="T39" s="59">
        <v>47.71764</v>
      </c>
      <c r="U39" s="59">
        <v>47.5</v>
      </c>
      <c r="V39" s="61">
        <v>48.43216</v>
      </c>
      <c r="W39" s="64">
        <v>0</v>
      </c>
      <c r="X39" s="64">
        <v>0</v>
      </c>
      <c r="Y39" s="59">
        <v>0</v>
      </c>
      <c r="Z39" s="65">
        <v>0</v>
      </c>
      <c r="AA39" s="65">
        <v>0</v>
      </c>
      <c r="AB39" s="65">
        <v>0</v>
      </c>
      <c r="AC39" s="65">
        <v>0</v>
      </c>
      <c r="AD39" s="65">
        <v>0</v>
      </c>
      <c r="AE39" s="65">
        <v>0</v>
      </c>
      <c r="AF39" s="65">
        <v>0</v>
      </c>
      <c r="AG39" s="65">
        <v>0</v>
      </c>
      <c r="AH39" s="65">
        <v>0</v>
      </c>
      <c r="AI39" s="65">
        <v>0</v>
      </c>
      <c r="AJ39" s="60">
        <v>0</v>
      </c>
      <c r="AK39" s="59">
        <v>0</v>
      </c>
      <c r="AL39" s="59">
        <v>0</v>
      </c>
      <c r="AM39" s="59">
        <v>0</v>
      </c>
      <c r="AN39" s="59">
        <v>0</v>
      </c>
      <c r="AO39" s="60">
        <v>0</v>
      </c>
      <c r="AP39" s="64">
        <v>0</v>
      </c>
      <c r="AQ39" s="65">
        <v>0</v>
      </c>
      <c r="AR39" s="59">
        <v>0</v>
      </c>
      <c r="AS39" s="60">
        <v>0</v>
      </c>
      <c r="AT39" s="64">
        <v>0</v>
      </c>
      <c r="AU39" s="65">
        <v>0</v>
      </c>
      <c r="AV39" s="60">
        <v>0</v>
      </c>
      <c r="AW39" s="60">
        <v>0</v>
      </c>
      <c r="AX39" s="60">
        <v>0</v>
      </c>
      <c r="AY39" s="60">
        <v>0</v>
      </c>
      <c r="AZ39" s="60">
        <v>0</v>
      </c>
      <c r="BA39" s="70">
        <v>0</v>
      </c>
      <c r="BB39" s="70">
        <v>0</v>
      </c>
      <c r="BC39" s="70">
        <v>0</v>
      </c>
      <c r="BD39" s="70">
        <v>0</v>
      </c>
      <c r="BE39" s="70">
        <v>0</v>
      </c>
      <c r="BF39" s="70">
        <v>0</v>
      </c>
      <c r="BG39" s="70">
        <v>0</v>
      </c>
      <c r="BH39" s="70">
        <v>0</v>
      </c>
      <c r="BI39" s="70">
        <v>0</v>
      </c>
      <c r="BJ39" s="70">
        <v>0</v>
      </c>
      <c r="BK39" s="70">
        <v>0</v>
      </c>
      <c r="BL39" s="70">
        <v>0</v>
      </c>
      <c r="BM39" s="70">
        <v>0</v>
      </c>
      <c r="BN39" s="70">
        <v>0</v>
      </c>
      <c r="BO39" s="70">
        <v>0</v>
      </c>
      <c r="BP39" s="70">
        <v>0</v>
      </c>
      <c r="BQ39" s="70">
        <v>0</v>
      </c>
      <c r="BR39" s="70">
        <v>0</v>
      </c>
      <c r="BS39" s="70">
        <v>0</v>
      </c>
      <c r="BT39" s="70">
        <v>0</v>
      </c>
      <c r="BU39" s="70">
        <v>0</v>
      </c>
      <c r="BV39" s="70">
        <v>0</v>
      </c>
      <c r="BW39" s="70">
        <v>0</v>
      </c>
      <c r="BX39" s="70">
        <v>0</v>
      </c>
      <c r="BY39" s="70">
        <v>0</v>
      </c>
      <c r="BZ39" s="70">
        <v>0</v>
      </c>
    </row>
    <row r="40" spans="1:78" ht="16.5" customHeight="1">
      <c r="A40" s="90" t="s">
        <v>33</v>
      </c>
      <c r="B40" s="53">
        <f>206.46+13.14</f>
        <v>219.60000000000002</v>
      </c>
      <c r="C40" s="54">
        <v>287.09</v>
      </c>
      <c r="D40" s="55">
        <v>0</v>
      </c>
      <c r="E40" s="56">
        <v>0</v>
      </c>
      <c r="F40" s="57">
        <v>0</v>
      </c>
      <c r="G40" s="58">
        <v>0</v>
      </c>
      <c r="H40" s="57">
        <v>0</v>
      </c>
      <c r="I40" s="57">
        <v>0</v>
      </c>
      <c r="J40" s="58">
        <v>0</v>
      </c>
      <c r="K40" s="58">
        <v>0</v>
      </c>
      <c r="L40" s="60">
        <v>0</v>
      </c>
      <c r="M40" s="60">
        <v>0</v>
      </c>
      <c r="N40" s="60">
        <v>0</v>
      </c>
      <c r="O40" s="59">
        <v>0</v>
      </c>
      <c r="P40" s="59">
        <v>0</v>
      </c>
      <c r="Q40" s="61">
        <v>0</v>
      </c>
      <c r="R40" s="62">
        <v>0</v>
      </c>
      <c r="S40" s="104">
        <v>0</v>
      </c>
      <c r="T40" s="59">
        <v>0</v>
      </c>
      <c r="U40" s="59">
        <v>0</v>
      </c>
      <c r="V40" s="61">
        <v>0</v>
      </c>
      <c r="W40" s="64">
        <v>0</v>
      </c>
      <c r="X40" s="64">
        <v>0</v>
      </c>
      <c r="Y40" s="59">
        <v>0</v>
      </c>
      <c r="Z40" s="65">
        <v>0</v>
      </c>
      <c r="AA40" s="65">
        <v>0</v>
      </c>
      <c r="AB40" s="65">
        <v>0</v>
      </c>
      <c r="AC40" s="65">
        <v>0</v>
      </c>
      <c r="AD40" s="65">
        <v>0</v>
      </c>
      <c r="AE40" s="65">
        <v>0</v>
      </c>
      <c r="AF40" s="65">
        <v>0</v>
      </c>
      <c r="AG40" s="65">
        <v>0</v>
      </c>
      <c r="AH40" s="65">
        <v>0</v>
      </c>
      <c r="AI40" s="65">
        <v>0</v>
      </c>
      <c r="AJ40" s="60">
        <v>0</v>
      </c>
      <c r="AK40" s="59">
        <v>0</v>
      </c>
      <c r="AL40" s="59">
        <v>0</v>
      </c>
      <c r="AM40" s="59">
        <v>0</v>
      </c>
      <c r="AN40" s="59">
        <v>0</v>
      </c>
      <c r="AO40" s="60">
        <v>0</v>
      </c>
      <c r="AP40" s="64">
        <v>0</v>
      </c>
      <c r="AQ40" s="65">
        <v>0</v>
      </c>
      <c r="AR40" s="59">
        <v>0</v>
      </c>
      <c r="AS40" s="60">
        <v>0</v>
      </c>
      <c r="AT40" s="64">
        <v>0</v>
      </c>
      <c r="AU40" s="65">
        <v>0</v>
      </c>
      <c r="AV40" s="60">
        <v>0</v>
      </c>
      <c r="AW40" s="60">
        <v>0</v>
      </c>
      <c r="AX40" s="60">
        <v>0</v>
      </c>
      <c r="AY40" s="60">
        <v>0</v>
      </c>
      <c r="AZ40" s="60">
        <v>0</v>
      </c>
      <c r="BA40" s="70">
        <v>0</v>
      </c>
      <c r="BB40" s="70">
        <v>0</v>
      </c>
      <c r="BC40" s="70">
        <v>0</v>
      </c>
      <c r="BD40" s="70">
        <v>0</v>
      </c>
      <c r="BE40" s="70">
        <v>0</v>
      </c>
      <c r="BF40" s="70">
        <v>0</v>
      </c>
      <c r="BG40" s="70">
        <v>0</v>
      </c>
      <c r="BH40" s="70">
        <v>0</v>
      </c>
      <c r="BI40" s="70">
        <v>0</v>
      </c>
      <c r="BJ40" s="70">
        <v>0</v>
      </c>
      <c r="BK40" s="70">
        <v>0</v>
      </c>
      <c r="BL40" s="70">
        <v>0</v>
      </c>
      <c r="BM40" s="70">
        <v>0</v>
      </c>
      <c r="BN40" s="70">
        <v>0</v>
      </c>
      <c r="BO40" s="70">
        <v>0</v>
      </c>
      <c r="BP40" s="70">
        <v>0</v>
      </c>
      <c r="BQ40" s="70">
        <v>0</v>
      </c>
      <c r="BR40" s="70">
        <v>0</v>
      </c>
      <c r="BS40" s="70">
        <v>0</v>
      </c>
      <c r="BT40" s="70">
        <v>0</v>
      </c>
      <c r="BU40" s="70">
        <v>0</v>
      </c>
      <c r="BV40" s="70">
        <v>0</v>
      </c>
      <c r="BW40" s="70">
        <v>0</v>
      </c>
      <c r="BX40" s="70">
        <v>0</v>
      </c>
      <c r="BY40" s="70">
        <v>0</v>
      </c>
      <c r="BZ40" s="70">
        <v>0</v>
      </c>
    </row>
    <row r="41" spans="1:78" ht="16.5" customHeight="1">
      <c r="A41" s="90" t="s">
        <v>34</v>
      </c>
      <c r="B41" s="53">
        <v>2.7</v>
      </c>
      <c r="C41" s="54">
        <v>1.05</v>
      </c>
      <c r="D41" s="55">
        <v>0</v>
      </c>
      <c r="E41" s="56">
        <v>177.5</v>
      </c>
      <c r="F41" s="57">
        <f>402.18</f>
        <v>402.18</v>
      </c>
      <c r="G41" s="58">
        <v>548.81</v>
      </c>
      <c r="H41" s="57">
        <v>402.66</v>
      </c>
      <c r="I41" s="57">
        <v>268.99</v>
      </c>
      <c r="J41" s="58">
        <v>120.96</v>
      </c>
      <c r="K41" s="58">
        <v>39.95</v>
      </c>
      <c r="L41" s="60">
        <v>0</v>
      </c>
      <c r="M41" s="60">
        <v>0</v>
      </c>
      <c r="N41" s="60">
        <v>0</v>
      </c>
      <c r="O41" s="59">
        <v>0</v>
      </c>
      <c r="P41" s="59">
        <v>0</v>
      </c>
      <c r="Q41" s="61">
        <v>0</v>
      </c>
      <c r="R41" s="62">
        <v>0</v>
      </c>
      <c r="S41" s="104">
        <v>0</v>
      </c>
      <c r="T41" s="59">
        <v>0</v>
      </c>
      <c r="U41" s="59">
        <v>0</v>
      </c>
      <c r="V41" s="61">
        <v>0</v>
      </c>
      <c r="W41" s="64">
        <v>0</v>
      </c>
      <c r="X41" s="64">
        <v>0</v>
      </c>
      <c r="Y41" s="59">
        <v>0</v>
      </c>
      <c r="Z41" s="65">
        <v>0</v>
      </c>
      <c r="AA41" s="65">
        <v>0</v>
      </c>
      <c r="AB41" s="65">
        <v>0</v>
      </c>
      <c r="AC41" s="65">
        <v>0</v>
      </c>
      <c r="AD41" s="65">
        <v>0</v>
      </c>
      <c r="AE41" s="65">
        <v>0</v>
      </c>
      <c r="AF41" s="65">
        <v>0</v>
      </c>
      <c r="AG41" s="65">
        <v>0</v>
      </c>
      <c r="AH41" s="65">
        <v>0</v>
      </c>
      <c r="AI41" s="65">
        <v>0</v>
      </c>
      <c r="AJ41" s="60">
        <v>0</v>
      </c>
      <c r="AK41" s="59">
        <v>0</v>
      </c>
      <c r="AL41" s="59">
        <v>0</v>
      </c>
      <c r="AM41" s="59">
        <v>0</v>
      </c>
      <c r="AN41" s="59">
        <v>0</v>
      </c>
      <c r="AO41" s="60">
        <v>0</v>
      </c>
      <c r="AP41" s="64">
        <v>0</v>
      </c>
      <c r="AQ41" s="65">
        <v>0</v>
      </c>
      <c r="AR41" s="59">
        <v>0</v>
      </c>
      <c r="AS41" s="60">
        <v>0</v>
      </c>
      <c r="AT41" s="64">
        <v>0</v>
      </c>
      <c r="AU41" s="65">
        <v>0</v>
      </c>
      <c r="AV41" s="60">
        <v>0</v>
      </c>
      <c r="AW41" s="60">
        <v>0</v>
      </c>
      <c r="AX41" s="60">
        <v>0</v>
      </c>
      <c r="AY41" s="60">
        <v>0</v>
      </c>
      <c r="AZ41" s="60">
        <v>0</v>
      </c>
      <c r="BA41" s="70">
        <v>0</v>
      </c>
      <c r="BB41" s="70">
        <v>0</v>
      </c>
      <c r="BC41" s="70">
        <v>0</v>
      </c>
      <c r="BD41" s="70">
        <v>0</v>
      </c>
      <c r="BE41" s="70">
        <v>0</v>
      </c>
      <c r="BF41" s="70">
        <v>0</v>
      </c>
      <c r="BG41" s="70">
        <v>0</v>
      </c>
      <c r="BH41" s="70">
        <v>0</v>
      </c>
      <c r="BI41" s="70">
        <v>0</v>
      </c>
      <c r="BJ41" s="70">
        <v>0</v>
      </c>
      <c r="BK41" s="70">
        <v>0</v>
      </c>
      <c r="BL41" s="70">
        <v>0</v>
      </c>
      <c r="BM41" s="70">
        <v>0</v>
      </c>
      <c r="BN41" s="70">
        <v>0</v>
      </c>
      <c r="BO41" s="70">
        <v>0</v>
      </c>
      <c r="BP41" s="70">
        <v>0</v>
      </c>
      <c r="BQ41" s="70">
        <v>0</v>
      </c>
      <c r="BR41" s="70">
        <v>0</v>
      </c>
      <c r="BS41" s="70">
        <v>0</v>
      </c>
      <c r="BT41" s="70">
        <v>0</v>
      </c>
      <c r="BU41" s="70">
        <v>0</v>
      </c>
      <c r="BV41" s="70">
        <v>0</v>
      </c>
      <c r="BW41" s="70">
        <v>0</v>
      </c>
      <c r="BX41" s="70">
        <v>0</v>
      </c>
      <c r="BY41" s="70">
        <v>0</v>
      </c>
      <c r="BZ41" s="70">
        <v>0</v>
      </c>
    </row>
    <row r="42" spans="1:78" ht="16.5" customHeight="1">
      <c r="A42" s="90" t="s">
        <v>35</v>
      </c>
      <c r="B42" s="53">
        <v>0</v>
      </c>
      <c r="C42" s="54">
        <v>0</v>
      </c>
      <c r="D42" s="55">
        <v>0</v>
      </c>
      <c r="E42" s="56">
        <v>0</v>
      </c>
      <c r="F42" s="57">
        <v>0.02</v>
      </c>
      <c r="G42" s="57">
        <v>0.1</v>
      </c>
      <c r="H42" s="57">
        <v>0.02</v>
      </c>
      <c r="I42" s="57">
        <v>0</v>
      </c>
      <c r="J42" s="58">
        <v>0</v>
      </c>
      <c r="K42" s="58">
        <v>0</v>
      </c>
      <c r="L42" s="81">
        <v>0</v>
      </c>
      <c r="M42" s="60">
        <v>0</v>
      </c>
      <c r="N42" s="60">
        <v>0</v>
      </c>
      <c r="O42" s="59">
        <v>0</v>
      </c>
      <c r="P42" s="59">
        <v>0</v>
      </c>
      <c r="Q42" s="61">
        <v>0</v>
      </c>
      <c r="R42" s="62">
        <v>0</v>
      </c>
      <c r="S42" s="104">
        <v>0</v>
      </c>
      <c r="T42" s="59">
        <v>0</v>
      </c>
      <c r="U42" s="59">
        <v>0</v>
      </c>
      <c r="V42" s="61">
        <v>0</v>
      </c>
      <c r="W42" s="64">
        <v>0</v>
      </c>
      <c r="X42" s="64">
        <v>0</v>
      </c>
      <c r="Y42" s="59">
        <v>0</v>
      </c>
      <c r="Z42" s="65">
        <v>0</v>
      </c>
      <c r="AA42" s="65">
        <v>0</v>
      </c>
      <c r="AB42" s="65">
        <v>0</v>
      </c>
      <c r="AC42" s="65">
        <v>0</v>
      </c>
      <c r="AD42" s="65">
        <v>0</v>
      </c>
      <c r="AE42" s="65">
        <v>0</v>
      </c>
      <c r="AF42" s="65">
        <v>0</v>
      </c>
      <c r="AG42" s="65">
        <v>0</v>
      </c>
      <c r="AH42" s="65">
        <v>0</v>
      </c>
      <c r="AI42" s="65">
        <v>0</v>
      </c>
      <c r="AJ42" s="60">
        <v>0</v>
      </c>
      <c r="AK42" s="59">
        <v>0</v>
      </c>
      <c r="AL42" s="59">
        <v>0</v>
      </c>
      <c r="AM42" s="59">
        <v>0</v>
      </c>
      <c r="AN42" s="59">
        <v>0</v>
      </c>
      <c r="AO42" s="81">
        <v>0</v>
      </c>
      <c r="AP42" s="64">
        <v>0</v>
      </c>
      <c r="AQ42" s="65">
        <v>0</v>
      </c>
      <c r="AR42" s="59">
        <v>0</v>
      </c>
      <c r="AS42" s="81">
        <v>0</v>
      </c>
      <c r="AT42" s="64">
        <v>0</v>
      </c>
      <c r="AU42" s="65">
        <v>0</v>
      </c>
      <c r="AV42" s="60">
        <v>0</v>
      </c>
      <c r="AW42" s="60">
        <v>0</v>
      </c>
      <c r="AX42" s="60">
        <v>0</v>
      </c>
      <c r="AY42" s="60">
        <v>0</v>
      </c>
      <c r="AZ42" s="60">
        <v>0</v>
      </c>
      <c r="BA42" s="70">
        <v>0</v>
      </c>
      <c r="BB42" s="70">
        <v>0</v>
      </c>
      <c r="BC42" s="70">
        <v>0</v>
      </c>
      <c r="BD42" s="70">
        <v>0</v>
      </c>
      <c r="BE42" s="70">
        <v>0</v>
      </c>
      <c r="BF42" s="70">
        <v>0</v>
      </c>
      <c r="BG42" s="70">
        <v>0</v>
      </c>
      <c r="BH42" s="70">
        <v>0</v>
      </c>
      <c r="BI42" s="70">
        <v>0</v>
      </c>
      <c r="BJ42" s="70">
        <v>0</v>
      </c>
      <c r="BK42" s="70">
        <v>0</v>
      </c>
      <c r="BL42" s="70">
        <v>0</v>
      </c>
      <c r="BM42" s="70">
        <v>0</v>
      </c>
      <c r="BN42" s="70">
        <v>0</v>
      </c>
      <c r="BO42" s="70">
        <v>0</v>
      </c>
      <c r="BP42" s="70">
        <v>0</v>
      </c>
      <c r="BQ42" s="70">
        <v>0</v>
      </c>
      <c r="BR42" s="70">
        <v>0</v>
      </c>
      <c r="BS42" s="70">
        <v>0</v>
      </c>
      <c r="BT42" s="70">
        <v>0</v>
      </c>
      <c r="BU42" s="70">
        <v>0</v>
      </c>
      <c r="BV42" s="70">
        <v>0</v>
      </c>
      <c r="BW42" s="70">
        <v>0</v>
      </c>
      <c r="BX42" s="70">
        <v>0</v>
      </c>
      <c r="BY42" s="70">
        <v>0</v>
      </c>
      <c r="BZ42" s="70">
        <v>0</v>
      </c>
    </row>
    <row r="43" spans="1:78" ht="16.5" customHeight="1">
      <c r="A43" s="83" t="s">
        <v>36</v>
      </c>
      <c r="B43" s="98">
        <f aca="true" t="shared" si="18" ref="B43:K43">SUM(B44:B46)</f>
        <v>25285.510000000002</v>
      </c>
      <c r="C43" s="99">
        <f t="shared" si="18"/>
        <v>33776.4</v>
      </c>
      <c r="D43" s="98">
        <f t="shared" si="18"/>
        <v>43793.82</v>
      </c>
      <c r="E43" s="99">
        <f t="shared" si="18"/>
        <v>51136.75</v>
      </c>
      <c r="F43" s="99">
        <f t="shared" si="18"/>
        <v>55147.33</v>
      </c>
      <c r="G43" s="99">
        <f t="shared" si="18"/>
        <v>56381.799999999996</v>
      </c>
      <c r="H43" s="99">
        <f t="shared" si="18"/>
        <v>59868.5</v>
      </c>
      <c r="I43" s="99">
        <f t="shared" si="18"/>
        <v>76149.6</v>
      </c>
      <c r="J43" s="99">
        <f t="shared" si="18"/>
        <v>100556.4</v>
      </c>
      <c r="K43" s="99">
        <f t="shared" si="18"/>
        <v>136493.8</v>
      </c>
      <c r="L43" s="100">
        <f aca="true" t="shared" si="19" ref="L43:AT43">L44+L45+L46</f>
        <v>182510.26032</v>
      </c>
      <c r="M43" s="99">
        <f t="shared" si="19"/>
        <v>178723.03448</v>
      </c>
      <c r="N43" s="99">
        <f t="shared" si="19"/>
        <v>181494.6165</v>
      </c>
      <c r="O43" s="100">
        <f t="shared" si="19"/>
        <v>187476.541801</v>
      </c>
      <c r="P43" s="99">
        <f t="shared" si="19"/>
        <v>184007.58496</v>
      </c>
      <c r="Q43" s="99">
        <f t="shared" si="19"/>
        <v>189121.47608</v>
      </c>
      <c r="R43" s="100">
        <f t="shared" si="19"/>
        <v>202388.04462</v>
      </c>
      <c r="S43" s="100">
        <f t="shared" si="19"/>
        <v>192954.63157</v>
      </c>
      <c r="T43" s="100">
        <f t="shared" si="19"/>
        <v>195975.12888</v>
      </c>
      <c r="U43" s="100">
        <f t="shared" si="19"/>
        <v>200634.5</v>
      </c>
      <c r="V43" s="99">
        <f t="shared" si="19"/>
        <v>199580.80933</v>
      </c>
      <c r="W43" s="100">
        <f t="shared" si="19"/>
        <v>201455.63009</v>
      </c>
      <c r="X43" s="99">
        <f t="shared" si="19"/>
        <v>210388.6</v>
      </c>
      <c r="Y43" s="99">
        <f t="shared" si="19"/>
        <v>207511.9</v>
      </c>
      <c r="Z43" s="99">
        <f t="shared" si="19"/>
        <v>217778.5</v>
      </c>
      <c r="AA43" s="99">
        <f t="shared" si="19"/>
        <v>222624.09999999998</v>
      </c>
      <c r="AB43" s="99">
        <f t="shared" si="19"/>
        <v>223952.8</v>
      </c>
      <c r="AC43" s="99">
        <f t="shared" si="19"/>
        <v>224749.2</v>
      </c>
      <c r="AD43" s="99">
        <f t="shared" si="19"/>
        <v>219100.9</v>
      </c>
      <c r="AE43" s="99">
        <f t="shared" si="19"/>
        <v>223454.6</v>
      </c>
      <c r="AF43" s="99">
        <f t="shared" si="19"/>
        <v>218464.4</v>
      </c>
      <c r="AG43" s="99">
        <f t="shared" si="19"/>
        <v>222804.5</v>
      </c>
      <c r="AH43" s="99">
        <f t="shared" si="19"/>
        <v>225335.58604000002</v>
      </c>
      <c r="AI43" s="99">
        <f t="shared" si="19"/>
        <v>227302</v>
      </c>
      <c r="AJ43" s="99">
        <f t="shared" si="19"/>
        <v>226841.9</v>
      </c>
      <c r="AK43" s="100">
        <f t="shared" si="19"/>
        <v>226822.3</v>
      </c>
      <c r="AL43" s="100">
        <f t="shared" si="19"/>
        <v>235942.09999999998</v>
      </c>
      <c r="AM43" s="100">
        <f t="shared" si="19"/>
        <v>238452.66</v>
      </c>
      <c r="AN43" s="100">
        <f t="shared" si="19"/>
        <v>238986.6</v>
      </c>
      <c r="AO43" s="99">
        <f t="shared" si="19"/>
        <v>235516.1</v>
      </c>
      <c r="AP43" s="101">
        <f t="shared" si="19"/>
        <v>239716.8</v>
      </c>
      <c r="AQ43" s="102">
        <f t="shared" si="19"/>
        <v>237881.7</v>
      </c>
      <c r="AR43" s="100">
        <f t="shared" si="19"/>
        <v>238895.5</v>
      </c>
      <c r="AS43" s="102">
        <f t="shared" si="19"/>
        <v>246545.90000000002</v>
      </c>
      <c r="AT43" s="100">
        <f t="shared" si="19"/>
        <v>251459.3</v>
      </c>
      <c r="AU43" s="102">
        <v>246739.2</v>
      </c>
      <c r="AV43" s="99">
        <f aca="true" t="shared" si="20" ref="AV43:BU43">AV44+AV45+AV46</f>
        <v>252179.8</v>
      </c>
      <c r="AW43" s="99">
        <f t="shared" si="20"/>
        <v>255987.2</v>
      </c>
      <c r="AX43" s="99">
        <f t="shared" si="20"/>
        <v>259457.68</v>
      </c>
      <c r="AY43" s="99">
        <f t="shared" si="20"/>
        <v>254545.90000000002</v>
      </c>
      <c r="AZ43" s="99">
        <f t="shared" si="20"/>
        <v>261542.13</v>
      </c>
      <c r="BA43" s="103">
        <f t="shared" si="20"/>
        <v>255580.2</v>
      </c>
      <c r="BB43" s="103">
        <f t="shared" si="20"/>
        <v>257060.7</v>
      </c>
      <c r="BC43" s="103">
        <f t="shared" si="20"/>
        <v>255083.9</v>
      </c>
      <c r="BD43" s="103">
        <f t="shared" si="20"/>
        <v>255443.59999999998</v>
      </c>
      <c r="BE43" s="103">
        <f t="shared" si="20"/>
        <v>253959.22999999998</v>
      </c>
      <c r="BF43" s="103">
        <f t="shared" si="20"/>
        <v>261718.59999999998</v>
      </c>
      <c r="BG43" s="103">
        <f t="shared" si="20"/>
        <v>265653.60000000003</v>
      </c>
      <c r="BH43" s="103">
        <f t="shared" si="20"/>
        <v>280763.80000000005</v>
      </c>
      <c r="BI43" s="103">
        <f t="shared" si="20"/>
        <v>268239.7</v>
      </c>
      <c r="BJ43" s="103">
        <f t="shared" si="20"/>
        <v>272404.30000000005</v>
      </c>
      <c r="BK43" s="103">
        <f t="shared" si="20"/>
        <v>268935.1</v>
      </c>
      <c r="BL43" s="103">
        <f t="shared" si="20"/>
        <v>265250.9</v>
      </c>
      <c r="BM43" s="103">
        <f t="shared" si="20"/>
        <v>266229.1</v>
      </c>
      <c r="BN43" s="103">
        <f t="shared" si="20"/>
        <v>273834.7</v>
      </c>
      <c r="BO43" s="103">
        <f t="shared" si="20"/>
        <v>268640.8</v>
      </c>
      <c r="BP43" s="103">
        <f t="shared" si="20"/>
        <v>270339.9</v>
      </c>
      <c r="BQ43" s="103">
        <f t="shared" si="20"/>
        <v>272131.4</v>
      </c>
      <c r="BR43" s="103">
        <f t="shared" si="20"/>
        <v>277077.8</v>
      </c>
      <c r="BS43" s="103">
        <f t="shared" si="20"/>
        <v>281841</v>
      </c>
      <c r="BT43" s="103">
        <f t="shared" si="20"/>
        <v>299142.6</v>
      </c>
      <c r="BU43" s="103">
        <f t="shared" si="20"/>
        <v>290246.1</v>
      </c>
      <c r="BV43" s="103">
        <f>BV44+BV45+BV46</f>
        <v>294597.58</v>
      </c>
      <c r="BW43" s="103">
        <f>BW44+BW45+BW46</f>
        <v>293582.4</v>
      </c>
      <c r="BX43" s="103">
        <f>BX44+BX45+BX46</f>
        <v>297926.2</v>
      </c>
      <c r="BY43" s="103">
        <f>BY44+BY45+BY46</f>
        <v>306275.48</v>
      </c>
      <c r="BZ43" s="103">
        <f>BZ44+BZ45+BZ46</f>
        <v>302421.1</v>
      </c>
    </row>
    <row r="44" spans="1:78" ht="16.5" customHeight="1">
      <c r="A44" s="107" t="s">
        <v>37</v>
      </c>
      <c r="B44" s="55">
        <v>4658.65</v>
      </c>
      <c r="C44" s="58">
        <v>6421.2</v>
      </c>
      <c r="D44" s="55">
        <v>8167.6</v>
      </c>
      <c r="E44" s="56">
        <v>7939.65</v>
      </c>
      <c r="F44" s="57">
        <v>9657.13</v>
      </c>
      <c r="G44" s="58">
        <v>9383.6</v>
      </c>
      <c r="H44" s="57">
        <v>20951.3</v>
      </c>
      <c r="I44" s="57">
        <v>31922.2</v>
      </c>
      <c r="J44" s="58">
        <v>49526.6</v>
      </c>
      <c r="K44" s="58">
        <v>51566.6</v>
      </c>
      <c r="L44" s="68">
        <v>64095.9</v>
      </c>
      <c r="M44" s="60">
        <v>60045.8</v>
      </c>
      <c r="N44" s="60">
        <v>61758.06</v>
      </c>
      <c r="O44" s="59">
        <v>64965.326</v>
      </c>
      <c r="P44" s="59">
        <v>61726.4</v>
      </c>
      <c r="Q44" s="61">
        <v>61234.8</v>
      </c>
      <c r="R44" s="62">
        <v>65827.13</v>
      </c>
      <c r="S44" s="104">
        <v>58388.8</v>
      </c>
      <c r="T44" s="59">
        <v>60795.8</v>
      </c>
      <c r="U44" s="59">
        <v>61109.5</v>
      </c>
      <c r="V44" s="61">
        <v>63297.9</v>
      </c>
      <c r="W44" s="64">
        <v>62678.4</v>
      </c>
      <c r="X44" s="64">
        <v>67788.9</v>
      </c>
      <c r="Y44" s="59">
        <v>61997.7</v>
      </c>
      <c r="Z44" s="65">
        <v>63445.6</v>
      </c>
      <c r="AA44" s="65">
        <v>63116.9</v>
      </c>
      <c r="AB44" s="65">
        <v>59875.5</v>
      </c>
      <c r="AC44" s="65">
        <v>57477.7</v>
      </c>
      <c r="AD44" s="65">
        <v>50853.4</v>
      </c>
      <c r="AE44" s="65">
        <v>50670.8</v>
      </c>
      <c r="AF44" s="65">
        <v>49345.1</v>
      </c>
      <c r="AG44" s="65">
        <v>47722.8</v>
      </c>
      <c r="AH44" s="65">
        <v>52253.6</v>
      </c>
      <c r="AI44" s="65">
        <v>47681.1</v>
      </c>
      <c r="AJ44" s="68">
        <v>43428.3</v>
      </c>
      <c r="AK44" s="59">
        <v>35152.8</v>
      </c>
      <c r="AL44" s="59">
        <v>36139.7</v>
      </c>
      <c r="AM44" s="59">
        <v>37695.2</v>
      </c>
      <c r="AN44" s="59">
        <v>36340</v>
      </c>
      <c r="AO44" s="60">
        <v>29392.7</v>
      </c>
      <c r="AP44" s="64">
        <v>29032</v>
      </c>
      <c r="AQ44" s="65">
        <v>29995.4</v>
      </c>
      <c r="AR44" s="59">
        <v>29555.4</v>
      </c>
      <c r="AS44" s="68">
        <v>28130.9</v>
      </c>
      <c r="AT44" s="64">
        <v>30100.45</v>
      </c>
      <c r="AU44" s="65">
        <v>27209.7</v>
      </c>
      <c r="AV44" s="68">
        <v>29453.9</v>
      </c>
      <c r="AW44" s="60">
        <v>22006.3</v>
      </c>
      <c r="AX44" s="60">
        <v>23945.54</v>
      </c>
      <c r="AY44" s="60">
        <v>22008.3</v>
      </c>
      <c r="AZ44" s="60">
        <v>26418.03</v>
      </c>
      <c r="BA44" s="70">
        <v>25382.9</v>
      </c>
      <c r="BB44" s="70">
        <v>23987.6</v>
      </c>
      <c r="BC44" s="70">
        <v>22979.9</v>
      </c>
      <c r="BD44" s="70">
        <v>21961.8</v>
      </c>
      <c r="BE44" s="70">
        <v>18742.4</v>
      </c>
      <c r="BF44" s="70">
        <v>23262.2</v>
      </c>
      <c r="BG44" s="70">
        <v>24826.3</v>
      </c>
      <c r="BH44" s="70">
        <v>35713</v>
      </c>
      <c r="BI44" s="70">
        <v>27364</v>
      </c>
      <c r="BJ44" s="70">
        <v>28597.5</v>
      </c>
      <c r="BK44" s="70">
        <v>28789.2</v>
      </c>
      <c r="BL44" s="70">
        <v>31421.9</v>
      </c>
      <c r="BM44" s="70">
        <v>30114.6</v>
      </c>
      <c r="BN44" s="70">
        <v>32801.2</v>
      </c>
      <c r="BO44" s="70">
        <v>31412.9</v>
      </c>
      <c r="BP44" s="70">
        <v>31217.4</v>
      </c>
      <c r="BQ44" s="70">
        <v>31039.8</v>
      </c>
      <c r="BR44" s="70">
        <v>31200.1</v>
      </c>
      <c r="BS44" s="70">
        <v>32001.6</v>
      </c>
      <c r="BT44" s="70">
        <v>44695.3</v>
      </c>
      <c r="BU44" s="70">
        <v>39750.75</v>
      </c>
      <c r="BV44" s="70">
        <v>42212.5</v>
      </c>
      <c r="BW44" s="70">
        <v>37951</v>
      </c>
      <c r="BX44" s="70">
        <v>39133.4</v>
      </c>
      <c r="BY44" s="70">
        <v>45554.2</v>
      </c>
      <c r="BZ44" s="70">
        <v>45320.7</v>
      </c>
    </row>
    <row r="45" spans="1:78" ht="16.5" customHeight="1">
      <c r="A45" s="107" t="s">
        <v>38</v>
      </c>
      <c r="B45" s="53">
        <f>2612.7+2779.7</f>
        <v>5392.4</v>
      </c>
      <c r="C45" s="54">
        <f>4290.3+2751.5</f>
        <v>7041.8</v>
      </c>
      <c r="D45" s="55">
        <f>4459.9+3582.7</f>
        <v>8042.599999999999</v>
      </c>
      <c r="E45" s="56">
        <f>3698.1+3561.4</f>
        <v>7259.5</v>
      </c>
      <c r="F45" s="57">
        <f>3654.6+4732.2</f>
        <v>8386.8</v>
      </c>
      <c r="G45" s="58">
        <f>1984.9+6213.6</f>
        <v>8198.5</v>
      </c>
      <c r="H45" s="57">
        <f>1197.8+4177.4</f>
        <v>5375.2</v>
      </c>
      <c r="I45" s="57">
        <f>8289.5+722.4</f>
        <v>9011.9</v>
      </c>
      <c r="J45" s="58">
        <f>10347.4+365.1</f>
        <v>10712.5</v>
      </c>
      <c r="K45" s="58">
        <f>27085.5+10.6</f>
        <v>27096.1</v>
      </c>
      <c r="L45" s="60">
        <v>42792.21392</v>
      </c>
      <c r="M45" s="60">
        <v>30984.10196</v>
      </c>
      <c r="N45" s="60">
        <v>43143.016</v>
      </c>
      <c r="O45" s="59">
        <v>43041.952217</v>
      </c>
      <c r="P45" s="59">
        <v>31379.52976</v>
      </c>
      <c r="Q45" s="61">
        <v>35674.54832</v>
      </c>
      <c r="R45" s="62">
        <v>56830.34364</v>
      </c>
      <c r="S45" s="104">
        <v>54777.34612</v>
      </c>
      <c r="T45" s="59">
        <v>55591.58912</v>
      </c>
      <c r="U45" s="59">
        <v>56632.7</v>
      </c>
      <c r="V45" s="61">
        <v>54080.87972</v>
      </c>
      <c r="W45" s="64">
        <v>55031.29156</v>
      </c>
      <c r="X45" s="64">
        <v>55152.1</v>
      </c>
      <c r="Y45" s="59">
        <v>55507</v>
      </c>
      <c r="Z45" s="65">
        <v>62929</v>
      </c>
      <c r="AA45" s="65">
        <v>64614.5</v>
      </c>
      <c r="AB45" s="65">
        <v>68288.2</v>
      </c>
      <c r="AC45" s="65">
        <v>71250</v>
      </c>
      <c r="AD45" s="65">
        <v>72050.1</v>
      </c>
      <c r="AE45" s="65">
        <v>73690.8</v>
      </c>
      <c r="AF45" s="65">
        <v>72788.3</v>
      </c>
      <c r="AG45" s="65">
        <v>74469.55</v>
      </c>
      <c r="AH45" s="65">
        <v>72285.81432</v>
      </c>
      <c r="AI45" s="65">
        <v>71845.85</v>
      </c>
      <c r="AJ45" s="60">
        <v>77365.7</v>
      </c>
      <c r="AK45" s="59">
        <v>87069.8</v>
      </c>
      <c r="AL45" s="59">
        <v>89885.2</v>
      </c>
      <c r="AM45" s="59">
        <v>88986.63</v>
      </c>
      <c r="AN45" s="59">
        <v>92646.8</v>
      </c>
      <c r="AO45" s="60">
        <v>94809.6</v>
      </c>
      <c r="AP45" s="64">
        <v>97217.9</v>
      </c>
      <c r="AQ45" s="65">
        <v>96567.45</v>
      </c>
      <c r="AR45" s="59">
        <v>96217.2</v>
      </c>
      <c r="AS45" s="60">
        <v>98188.2</v>
      </c>
      <c r="AT45" s="64">
        <v>96118.25</v>
      </c>
      <c r="AU45" s="65">
        <v>94989.4</v>
      </c>
      <c r="AV45" s="60">
        <v>94759.7</v>
      </c>
      <c r="AW45" s="60">
        <v>97760.8</v>
      </c>
      <c r="AX45" s="60">
        <v>99676.9</v>
      </c>
      <c r="AY45" s="60">
        <v>97151.4</v>
      </c>
      <c r="AZ45" s="60">
        <v>93083.85</v>
      </c>
      <c r="BA45" s="70">
        <v>87610.05</v>
      </c>
      <c r="BB45" s="70">
        <v>88861.4</v>
      </c>
      <c r="BC45" s="70">
        <v>84907.7</v>
      </c>
      <c r="BD45" s="70">
        <v>87030</v>
      </c>
      <c r="BE45" s="70">
        <v>87161.15</v>
      </c>
      <c r="BF45" s="70">
        <v>81970.5</v>
      </c>
      <c r="BG45" s="70">
        <v>84894.6</v>
      </c>
      <c r="BH45" s="70">
        <v>83930.1</v>
      </c>
      <c r="BI45" s="70">
        <v>85977.2</v>
      </c>
      <c r="BJ45" s="70">
        <v>86276.1</v>
      </c>
      <c r="BK45" s="70">
        <v>82615.8</v>
      </c>
      <c r="BL45" s="70">
        <v>76546.1</v>
      </c>
      <c r="BM45" s="70">
        <v>76959.4</v>
      </c>
      <c r="BN45" s="70">
        <v>77890.8</v>
      </c>
      <c r="BO45" s="70">
        <v>74401.1</v>
      </c>
      <c r="BP45" s="70">
        <v>75538.6</v>
      </c>
      <c r="BQ45" s="70">
        <v>76457.6</v>
      </c>
      <c r="BR45" s="70">
        <v>71066.3</v>
      </c>
      <c r="BS45" s="70">
        <v>72960.6</v>
      </c>
      <c r="BT45" s="70">
        <v>74902.4</v>
      </c>
      <c r="BU45" s="70">
        <v>69877</v>
      </c>
      <c r="BV45" s="70">
        <v>66568.24</v>
      </c>
      <c r="BW45" s="70">
        <v>69694</v>
      </c>
      <c r="BX45" s="70">
        <v>71504.6</v>
      </c>
      <c r="BY45" s="70">
        <v>66597.14</v>
      </c>
      <c r="BZ45" s="70">
        <v>61460.6</v>
      </c>
    </row>
    <row r="46" spans="1:78" ht="16.5" customHeight="1">
      <c r="A46" s="107" t="s">
        <v>39</v>
      </c>
      <c r="B46" s="53">
        <f>3474.7+11745.2+14.56</f>
        <v>15234.460000000001</v>
      </c>
      <c r="C46" s="54">
        <f>5963.5+14337.2+12.7</f>
        <v>20313.4</v>
      </c>
      <c r="D46" s="55">
        <f>7267+20305.7+10.92</f>
        <v>27583.62</v>
      </c>
      <c r="E46" s="56">
        <f>11837.6+24090.9+9.1</f>
        <v>35937.6</v>
      </c>
      <c r="F46" s="57">
        <f>12347.6+24734.2+21.6</f>
        <v>37103.4</v>
      </c>
      <c r="G46" s="58">
        <f>11496.1+26773+530.6</f>
        <v>38799.7</v>
      </c>
      <c r="H46" s="57">
        <f>8717+24126.4+698.6</f>
        <v>33542</v>
      </c>
      <c r="I46" s="57">
        <f>1662.7+7701.6+25851.2</f>
        <v>35215.5</v>
      </c>
      <c r="J46" s="58">
        <f>1649.1+8108.3+30559.9</f>
        <v>40317.3</v>
      </c>
      <c r="K46" s="58">
        <f>5697+11687.7+40446.4</f>
        <v>57831.100000000006</v>
      </c>
      <c r="L46" s="81">
        <v>75622.1464</v>
      </c>
      <c r="M46" s="60">
        <v>87693.13252</v>
      </c>
      <c r="N46" s="60">
        <v>76593.5405</v>
      </c>
      <c r="O46" s="59">
        <v>79469.263584</v>
      </c>
      <c r="P46" s="59">
        <v>90901.6552</v>
      </c>
      <c r="Q46" s="61">
        <v>92212.12776</v>
      </c>
      <c r="R46" s="62">
        <v>79730.57098</v>
      </c>
      <c r="S46" s="104">
        <v>79788.48545</v>
      </c>
      <c r="T46" s="59">
        <v>79587.73976</v>
      </c>
      <c r="U46" s="59">
        <v>82892.3</v>
      </c>
      <c r="V46" s="61">
        <v>82202.02961</v>
      </c>
      <c r="W46" s="64">
        <v>83745.93853</v>
      </c>
      <c r="X46" s="64">
        <v>87447.6</v>
      </c>
      <c r="Y46" s="59">
        <v>90007.2</v>
      </c>
      <c r="Z46" s="65">
        <v>91403.9</v>
      </c>
      <c r="AA46" s="65">
        <v>94892.7</v>
      </c>
      <c r="AB46" s="65">
        <v>95789.1</v>
      </c>
      <c r="AC46" s="65">
        <v>96021.5</v>
      </c>
      <c r="AD46" s="65">
        <v>96197.4</v>
      </c>
      <c r="AE46" s="65">
        <v>99093</v>
      </c>
      <c r="AF46" s="65">
        <v>96331</v>
      </c>
      <c r="AG46" s="65">
        <v>100612.15</v>
      </c>
      <c r="AH46" s="65">
        <v>100796.17172</v>
      </c>
      <c r="AI46" s="65">
        <v>107775.05</v>
      </c>
      <c r="AJ46" s="60">
        <v>106047.9</v>
      </c>
      <c r="AK46" s="59">
        <v>104599.7</v>
      </c>
      <c r="AL46" s="59">
        <v>109917.2</v>
      </c>
      <c r="AM46" s="59">
        <v>111770.83</v>
      </c>
      <c r="AN46" s="59">
        <v>109999.8</v>
      </c>
      <c r="AO46" s="60">
        <v>111313.8</v>
      </c>
      <c r="AP46" s="64">
        <v>113466.9</v>
      </c>
      <c r="AQ46" s="65">
        <v>111318.85</v>
      </c>
      <c r="AR46" s="59">
        <v>113122.9</v>
      </c>
      <c r="AS46" s="60">
        <v>120226.8</v>
      </c>
      <c r="AT46" s="64">
        <v>125240.6</v>
      </c>
      <c r="AU46" s="65">
        <v>124540.1</v>
      </c>
      <c r="AV46" s="60">
        <v>127966.2</v>
      </c>
      <c r="AW46" s="60">
        <v>136220.1</v>
      </c>
      <c r="AX46" s="60">
        <v>135835.24</v>
      </c>
      <c r="AY46" s="60">
        <v>135386.2</v>
      </c>
      <c r="AZ46" s="60">
        <v>142040.25</v>
      </c>
      <c r="BA46" s="70">
        <v>142587.25</v>
      </c>
      <c r="BB46" s="70">
        <v>144211.7</v>
      </c>
      <c r="BC46" s="70">
        <v>147196.3</v>
      </c>
      <c r="BD46" s="70">
        <v>146451.8</v>
      </c>
      <c r="BE46" s="70">
        <v>148055.68</v>
      </c>
      <c r="BF46" s="70">
        <v>156485.9</v>
      </c>
      <c r="BG46" s="70">
        <v>155932.7</v>
      </c>
      <c r="BH46" s="70">
        <v>161120.7</v>
      </c>
      <c r="BI46" s="70">
        <v>154898.5</v>
      </c>
      <c r="BJ46" s="70">
        <v>157530.7</v>
      </c>
      <c r="BK46" s="70">
        <v>157530.1</v>
      </c>
      <c r="BL46" s="70">
        <v>157282.9</v>
      </c>
      <c r="BM46" s="70">
        <v>159155.1</v>
      </c>
      <c r="BN46" s="70">
        <v>163142.7</v>
      </c>
      <c r="BO46" s="70">
        <v>162826.8</v>
      </c>
      <c r="BP46" s="70">
        <v>163583.9</v>
      </c>
      <c r="BQ46" s="70">
        <v>164634</v>
      </c>
      <c r="BR46" s="70">
        <v>174811.4</v>
      </c>
      <c r="BS46" s="70">
        <v>176878.8</v>
      </c>
      <c r="BT46" s="70">
        <v>179544.9</v>
      </c>
      <c r="BU46" s="70">
        <v>180618.35</v>
      </c>
      <c r="BV46" s="70">
        <v>185816.84</v>
      </c>
      <c r="BW46" s="70">
        <v>185937.4</v>
      </c>
      <c r="BX46" s="70">
        <v>187288.2</v>
      </c>
      <c r="BY46" s="70">
        <v>194124.14</v>
      </c>
      <c r="BZ46" s="70">
        <v>195639.8</v>
      </c>
    </row>
    <row r="47" spans="1:78" ht="16.5" customHeight="1">
      <c r="A47" s="83" t="s">
        <v>40</v>
      </c>
      <c r="B47" s="71">
        <f aca="true" t="shared" si="21" ref="B47:AT47">SUM(B48:B49)</f>
        <v>25285.5</v>
      </c>
      <c r="C47" s="72">
        <f t="shared" si="21"/>
        <v>33776.4</v>
      </c>
      <c r="D47" s="71">
        <f t="shared" si="21"/>
        <v>43793.78</v>
      </c>
      <c r="E47" s="72">
        <f t="shared" si="21"/>
        <v>51136.82</v>
      </c>
      <c r="F47" s="72">
        <f t="shared" si="21"/>
        <v>55147.31614</v>
      </c>
      <c r="G47" s="72">
        <f t="shared" si="21"/>
        <v>56381.76</v>
      </c>
      <c r="H47" s="72">
        <f t="shared" si="21"/>
        <v>59868.520000000004</v>
      </c>
      <c r="I47" s="72">
        <f t="shared" si="21"/>
        <v>76149.6</v>
      </c>
      <c r="J47" s="72">
        <f t="shared" si="21"/>
        <v>100556.4</v>
      </c>
      <c r="K47" s="72">
        <f t="shared" si="21"/>
        <v>136493.8</v>
      </c>
      <c r="L47" s="73">
        <f t="shared" si="21"/>
        <v>182510.26032</v>
      </c>
      <c r="M47" s="72">
        <f t="shared" si="21"/>
        <v>178723.03447999997</v>
      </c>
      <c r="N47" s="72">
        <f t="shared" si="21"/>
        <v>181494.6265</v>
      </c>
      <c r="O47" s="73">
        <f t="shared" si="21"/>
        <v>187476.5</v>
      </c>
      <c r="P47" s="72">
        <f t="shared" si="21"/>
        <v>184007.58496</v>
      </c>
      <c r="Q47" s="72">
        <f t="shared" si="21"/>
        <v>189121.47608</v>
      </c>
      <c r="R47" s="73">
        <f t="shared" si="21"/>
        <v>202388.04462</v>
      </c>
      <c r="S47" s="73">
        <f t="shared" si="21"/>
        <v>192954.63157</v>
      </c>
      <c r="T47" s="73">
        <f t="shared" si="21"/>
        <v>195975.12888</v>
      </c>
      <c r="U47" s="73">
        <f t="shared" si="21"/>
        <v>200634.5</v>
      </c>
      <c r="V47" s="72">
        <f t="shared" si="21"/>
        <v>199580.80933</v>
      </c>
      <c r="W47" s="73">
        <f t="shared" si="21"/>
        <v>201455.63009</v>
      </c>
      <c r="X47" s="72">
        <f t="shared" si="21"/>
        <v>210388.6</v>
      </c>
      <c r="Y47" s="72">
        <f t="shared" si="21"/>
        <v>207511.90000000002</v>
      </c>
      <c r="Z47" s="72">
        <f t="shared" si="21"/>
        <v>209816.59999999998</v>
      </c>
      <c r="AA47" s="72">
        <f t="shared" si="21"/>
        <v>222624.19999999998</v>
      </c>
      <c r="AB47" s="72">
        <f t="shared" si="21"/>
        <v>223952.8</v>
      </c>
      <c r="AC47" s="72">
        <f t="shared" si="21"/>
        <v>224749.2</v>
      </c>
      <c r="AD47" s="72">
        <f t="shared" si="21"/>
        <v>219100.9</v>
      </c>
      <c r="AE47" s="72">
        <f t="shared" si="21"/>
        <v>223454.59999999998</v>
      </c>
      <c r="AF47" s="72">
        <f t="shared" si="21"/>
        <v>218464.40000000002</v>
      </c>
      <c r="AG47" s="72">
        <f t="shared" si="21"/>
        <v>222804.5</v>
      </c>
      <c r="AH47" s="72">
        <f t="shared" si="21"/>
        <v>225335.58604000002</v>
      </c>
      <c r="AI47" s="72">
        <f t="shared" si="21"/>
        <v>227302</v>
      </c>
      <c r="AJ47" s="72">
        <f t="shared" si="21"/>
        <v>226841.90000000002</v>
      </c>
      <c r="AK47" s="73">
        <f t="shared" si="21"/>
        <v>226822.34</v>
      </c>
      <c r="AL47" s="73">
        <f t="shared" si="21"/>
        <v>235942.1</v>
      </c>
      <c r="AM47" s="73">
        <f t="shared" si="21"/>
        <v>238452.7</v>
      </c>
      <c r="AN47" s="73">
        <f t="shared" si="21"/>
        <v>238986.59999999998</v>
      </c>
      <c r="AO47" s="72">
        <f t="shared" si="21"/>
        <v>235516.1</v>
      </c>
      <c r="AP47" s="74">
        <f t="shared" si="21"/>
        <v>239716.80000000002</v>
      </c>
      <c r="AQ47" s="75">
        <f t="shared" si="21"/>
        <v>237881.7</v>
      </c>
      <c r="AR47" s="73">
        <f t="shared" si="21"/>
        <v>238895.5</v>
      </c>
      <c r="AS47" s="72">
        <f t="shared" si="21"/>
        <v>246545.91</v>
      </c>
      <c r="AT47" s="74">
        <f t="shared" si="21"/>
        <v>251459.30000000002</v>
      </c>
      <c r="AU47" s="75">
        <v>246739.2</v>
      </c>
      <c r="AV47" s="72">
        <f aca="true" t="shared" si="22" ref="AV47:BU47">SUM(AV48:AV49)</f>
        <v>252179.80000000002</v>
      </c>
      <c r="AW47" s="72">
        <f t="shared" si="22"/>
        <v>255987.19999999998</v>
      </c>
      <c r="AX47" s="72">
        <f t="shared" si="22"/>
        <v>259457.69999999998</v>
      </c>
      <c r="AY47" s="72">
        <f t="shared" si="22"/>
        <v>254545.9</v>
      </c>
      <c r="AZ47" s="72">
        <f t="shared" si="22"/>
        <v>261542.09999999998</v>
      </c>
      <c r="BA47" s="76">
        <f t="shared" si="22"/>
        <v>255580.2</v>
      </c>
      <c r="BB47" s="76">
        <f t="shared" si="22"/>
        <v>257060.7</v>
      </c>
      <c r="BC47" s="76">
        <f t="shared" si="22"/>
        <v>255083.90000000002</v>
      </c>
      <c r="BD47" s="76">
        <f t="shared" si="22"/>
        <v>255443.6</v>
      </c>
      <c r="BE47" s="76">
        <f t="shared" si="22"/>
        <v>253959.2</v>
      </c>
      <c r="BF47" s="76">
        <f t="shared" si="22"/>
        <v>261718.59999999998</v>
      </c>
      <c r="BG47" s="76">
        <f t="shared" si="22"/>
        <v>265653.6</v>
      </c>
      <c r="BH47" s="76">
        <f t="shared" si="22"/>
        <v>280763.8</v>
      </c>
      <c r="BI47" s="76">
        <f t="shared" si="22"/>
        <v>268239.7</v>
      </c>
      <c r="BJ47" s="76">
        <f t="shared" si="22"/>
        <v>272404.3</v>
      </c>
      <c r="BK47" s="76">
        <f t="shared" si="22"/>
        <v>268935.10000000003</v>
      </c>
      <c r="BL47" s="76">
        <f t="shared" si="22"/>
        <v>265250.9</v>
      </c>
      <c r="BM47" s="76">
        <f t="shared" si="22"/>
        <v>266229.1</v>
      </c>
      <c r="BN47" s="76">
        <f t="shared" si="22"/>
        <v>273834.7</v>
      </c>
      <c r="BO47" s="76">
        <f t="shared" si="22"/>
        <v>268640.8</v>
      </c>
      <c r="BP47" s="76">
        <f t="shared" si="22"/>
        <v>270339.9</v>
      </c>
      <c r="BQ47" s="76">
        <f t="shared" si="22"/>
        <v>272131.4</v>
      </c>
      <c r="BR47" s="76">
        <f t="shared" si="22"/>
        <v>277077.8</v>
      </c>
      <c r="BS47" s="76">
        <f t="shared" si="22"/>
        <v>281841</v>
      </c>
      <c r="BT47" s="76">
        <f t="shared" si="22"/>
        <v>299142.6</v>
      </c>
      <c r="BU47" s="76">
        <f t="shared" si="22"/>
        <v>290246.1</v>
      </c>
      <c r="BV47" s="76">
        <f>SUM(BV48:BV49)</f>
        <v>294597.6</v>
      </c>
      <c r="BW47" s="76">
        <f>SUM(BW48:BW49)</f>
        <v>293582.4</v>
      </c>
      <c r="BX47" s="76">
        <f>SUM(BX48:BX49)</f>
        <v>297926.2</v>
      </c>
      <c r="BY47" s="76">
        <f>SUM(BY48:BY49)</f>
        <v>306275.5</v>
      </c>
      <c r="BZ47" s="76">
        <f>SUM(BZ48:BZ49)</f>
        <v>302421.1</v>
      </c>
    </row>
    <row r="48" spans="1:78" ht="16.5" customHeight="1">
      <c r="A48" s="90" t="s">
        <v>41</v>
      </c>
      <c r="B48" s="53">
        <f>5380.06+7370.36-B25-B19+4.6</f>
        <v>8096.42</v>
      </c>
      <c r="C48" s="54">
        <f>10059.5+2701.7</f>
        <v>12761.2</v>
      </c>
      <c r="D48" s="55">
        <f>13802.08+11561.21-D25-D19</f>
        <v>17195.69</v>
      </c>
      <c r="E48" s="56">
        <f>18506.35+11403.17-E25-E19</f>
        <v>21969.92</v>
      </c>
      <c r="F48" s="57">
        <f>17833.4+14389-F25-F19</f>
        <v>22565.300000000003</v>
      </c>
      <c r="G48" s="58">
        <f>15947.06+15942.9-G25-G19+243</f>
        <v>22749.36</v>
      </c>
      <c r="H48" s="57">
        <f>14938.7+25320.8-H25-H19+2.2</f>
        <v>19336.5</v>
      </c>
      <c r="I48" s="57">
        <v>22056.6</v>
      </c>
      <c r="J48" s="58">
        <v>31495.2</v>
      </c>
      <c r="K48" s="58">
        <f>26894.2+31040.2</f>
        <v>57934.4</v>
      </c>
      <c r="L48" s="59">
        <v>95049.07248</v>
      </c>
      <c r="M48" s="60">
        <v>95853.28291</v>
      </c>
      <c r="N48" s="60">
        <v>99885.7795</v>
      </c>
      <c r="O48" s="59">
        <v>103466.7</v>
      </c>
      <c r="P48" s="59">
        <v>100377.5644</v>
      </c>
      <c r="Q48" s="61">
        <v>101191.82568</v>
      </c>
      <c r="R48" s="62">
        <v>116743.93268</v>
      </c>
      <c r="S48" s="104">
        <v>110207.91632</v>
      </c>
      <c r="T48" s="59">
        <v>111044.04876</v>
      </c>
      <c r="U48" s="59">
        <v>114225.5</v>
      </c>
      <c r="V48" s="61">
        <v>111588.78669</v>
      </c>
      <c r="W48" s="64">
        <v>113551.16773</v>
      </c>
      <c r="X48" s="64">
        <v>115406.3</v>
      </c>
      <c r="Y48" s="59">
        <v>114447.1</v>
      </c>
      <c r="Z48" s="65">
        <v>118945.9</v>
      </c>
      <c r="AA48" s="65">
        <v>132333.3</v>
      </c>
      <c r="AB48" s="65">
        <v>136749.8</v>
      </c>
      <c r="AC48" s="65">
        <v>139079.6</v>
      </c>
      <c r="AD48" s="65">
        <v>139468.8</v>
      </c>
      <c r="AE48" s="65">
        <v>143289.15</v>
      </c>
      <c r="AF48" s="65">
        <v>140523.1</v>
      </c>
      <c r="AG48" s="65">
        <v>145519.7</v>
      </c>
      <c r="AH48" s="65">
        <v>143913.36162</v>
      </c>
      <c r="AI48" s="65">
        <v>150647.6</v>
      </c>
      <c r="AJ48" s="60">
        <v>154559.85</v>
      </c>
      <c r="AK48" s="59">
        <v>163262.34</v>
      </c>
      <c r="AL48" s="59">
        <v>171420.1</v>
      </c>
      <c r="AM48" s="59">
        <v>171972.9</v>
      </c>
      <c r="AN48" s="59">
        <v>174603.8</v>
      </c>
      <c r="AO48" s="60">
        <v>177703</v>
      </c>
      <c r="AP48" s="64">
        <v>181277.2</v>
      </c>
      <c r="AQ48" s="65">
        <v>179100.6</v>
      </c>
      <c r="AR48" s="59">
        <v>180442.6</v>
      </c>
      <c r="AS48" s="60">
        <v>189578.35</v>
      </c>
      <c r="AT48" s="64">
        <v>192763.7</v>
      </c>
      <c r="AU48" s="65">
        <v>191036.55</v>
      </c>
      <c r="AV48" s="60">
        <v>193674.7</v>
      </c>
      <c r="AW48" s="60">
        <v>205048.3</v>
      </c>
      <c r="AX48" s="60">
        <v>206772.8</v>
      </c>
      <c r="AY48" s="60">
        <v>204174.5</v>
      </c>
      <c r="AZ48" s="60">
        <v>206778.9</v>
      </c>
      <c r="BA48" s="70">
        <v>202222</v>
      </c>
      <c r="BB48" s="70">
        <v>205090.6</v>
      </c>
      <c r="BC48" s="70">
        <v>203968.2</v>
      </c>
      <c r="BD48" s="70">
        <v>205420.5</v>
      </c>
      <c r="BE48" s="70">
        <v>207048.2</v>
      </c>
      <c r="BF48" s="70">
        <v>210137.4</v>
      </c>
      <c r="BG48" s="70">
        <v>212529.4</v>
      </c>
      <c r="BH48" s="70">
        <v>216343.8</v>
      </c>
      <c r="BI48" s="70">
        <v>212318.55</v>
      </c>
      <c r="BJ48" s="70">
        <v>215326.9</v>
      </c>
      <c r="BK48" s="70">
        <v>211607.7</v>
      </c>
      <c r="BL48" s="70">
        <v>205350.7</v>
      </c>
      <c r="BM48" s="70">
        <v>207496.9</v>
      </c>
      <c r="BN48" s="70">
        <v>212213.3</v>
      </c>
      <c r="BO48" s="70">
        <v>208764.9</v>
      </c>
      <c r="BP48" s="70">
        <v>210619.9</v>
      </c>
      <c r="BQ48" s="70">
        <v>212583.7</v>
      </c>
      <c r="BR48" s="70">
        <v>217068</v>
      </c>
      <c r="BS48" s="70">
        <v>220887.3</v>
      </c>
      <c r="BT48" s="70">
        <v>229871</v>
      </c>
      <c r="BU48" s="70">
        <v>221501.1</v>
      </c>
      <c r="BV48" s="70">
        <v>223784.1</v>
      </c>
      <c r="BW48" s="70">
        <v>226983.5</v>
      </c>
      <c r="BX48" s="70">
        <v>229911.1</v>
      </c>
      <c r="BY48" s="70">
        <v>231519</v>
      </c>
      <c r="BZ48" s="70">
        <v>227706.6</v>
      </c>
    </row>
    <row r="49" spans="1:78" ht="16.5" customHeight="1">
      <c r="A49" s="90" t="s">
        <v>42</v>
      </c>
      <c r="B49" s="53">
        <f>12448.1+82.38+B19+B25</f>
        <v>17189.08</v>
      </c>
      <c r="C49" s="54">
        <f>14531.5+6483.7</f>
        <v>21015.2</v>
      </c>
      <c r="D49" s="55">
        <f>18371+59.49+D25+D19</f>
        <v>26598.090000000004</v>
      </c>
      <c r="E49" s="56">
        <f>21120.4+106.9+E25+E19</f>
        <v>29166.9</v>
      </c>
      <c r="F49" s="57">
        <f>22757.83614+167.08+F25+F19</f>
        <v>32582.01614</v>
      </c>
      <c r="G49" s="58">
        <f>24063.7+185.1+G25+G19</f>
        <v>33632.4</v>
      </c>
      <c r="H49" s="57">
        <f>19100.52+506.3+H25+H19</f>
        <v>40532.020000000004</v>
      </c>
      <c r="I49" s="57">
        <v>54093</v>
      </c>
      <c r="J49" s="58">
        <v>69061.2</v>
      </c>
      <c r="K49" s="58">
        <v>78559.4</v>
      </c>
      <c r="L49" s="59">
        <v>87461.18784</v>
      </c>
      <c r="M49" s="60">
        <v>82869.75157</v>
      </c>
      <c r="N49" s="60">
        <v>81608.847</v>
      </c>
      <c r="O49" s="59">
        <v>84009.8</v>
      </c>
      <c r="P49" s="59">
        <v>83630.02056</v>
      </c>
      <c r="Q49" s="61">
        <v>87929.6504</v>
      </c>
      <c r="R49" s="62">
        <v>85644.11194</v>
      </c>
      <c r="S49" s="104">
        <v>82746.71525</v>
      </c>
      <c r="T49" s="59">
        <v>84931.08012</v>
      </c>
      <c r="U49" s="59">
        <v>86409</v>
      </c>
      <c r="V49" s="61">
        <v>87992.02264</v>
      </c>
      <c r="W49" s="64">
        <v>87904.46236</v>
      </c>
      <c r="X49" s="64">
        <v>94982.3</v>
      </c>
      <c r="Y49" s="59">
        <v>93064.8</v>
      </c>
      <c r="Z49" s="65">
        <v>90870.7</v>
      </c>
      <c r="AA49" s="65">
        <v>90290.9</v>
      </c>
      <c r="AB49" s="65">
        <v>87203</v>
      </c>
      <c r="AC49" s="65">
        <v>85669.6</v>
      </c>
      <c r="AD49" s="65">
        <v>79632.1</v>
      </c>
      <c r="AE49" s="65">
        <v>80165.45</v>
      </c>
      <c r="AF49" s="65">
        <v>77941.3</v>
      </c>
      <c r="AG49" s="65">
        <v>77284.8</v>
      </c>
      <c r="AH49" s="65">
        <v>81422.22442</v>
      </c>
      <c r="AI49" s="65">
        <v>76654.4</v>
      </c>
      <c r="AJ49" s="60">
        <v>72282.05</v>
      </c>
      <c r="AK49" s="59">
        <v>63560</v>
      </c>
      <c r="AL49" s="59">
        <v>64522</v>
      </c>
      <c r="AM49" s="59">
        <v>66479.8</v>
      </c>
      <c r="AN49" s="59">
        <v>64382.8</v>
      </c>
      <c r="AO49" s="60">
        <v>57813.1</v>
      </c>
      <c r="AP49" s="64">
        <v>58439.6</v>
      </c>
      <c r="AQ49" s="65">
        <v>58781.1</v>
      </c>
      <c r="AR49" s="59">
        <v>58452.9</v>
      </c>
      <c r="AS49" s="60">
        <v>56967.56</v>
      </c>
      <c r="AT49" s="64">
        <v>58695.6</v>
      </c>
      <c r="AU49" s="65">
        <v>55702.65</v>
      </c>
      <c r="AV49" s="60">
        <v>58505.1</v>
      </c>
      <c r="AW49" s="60">
        <v>50938.9</v>
      </c>
      <c r="AX49" s="60">
        <v>52684.9</v>
      </c>
      <c r="AY49" s="60">
        <v>50371.4</v>
      </c>
      <c r="AZ49" s="60">
        <v>54763.2</v>
      </c>
      <c r="BA49" s="70">
        <v>53358.2</v>
      </c>
      <c r="BB49" s="70">
        <v>51970.1</v>
      </c>
      <c r="BC49" s="70">
        <v>51115.7</v>
      </c>
      <c r="BD49" s="70">
        <v>50023.1</v>
      </c>
      <c r="BE49" s="70">
        <v>46911</v>
      </c>
      <c r="BF49" s="70">
        <v>51581.2</v>
      </c>
      <c r="BG49" s="70">
        <v>53124.2</v>
      </c>
      <c r="BH49" s="70">
        <v>64420</v>
      </c>
      <c r="BI49" s="70">
        <v>55921.15</v>
      </c>
      <c r="BJ49" s="70">
        <v>57077.4</v>
      </c>
      <c r="BK49" s="70">
        <v>57327.4</v>
      </c>
      <c r="BL49" s="70">
        <v>59900.2</v>
      </c>
      <c r="BM49" s="70">
        <v>58732.2</v>
      </c>
      <c r="BN49" s="70">
        <v>61621.4</v>
      </c>
      <c r="BO49" s="70">
        <v>59875.9</v>
      </c>
      <c r="BP49" s="70">
        <v>59720</v>
      </c>
      <c r="BQ49" s="70">
        <v>59547.7</v>
      </c>
      <c r="BR49" s="70">
        <v>60009.8</v>
      </c>
      <c r="BS49" s="70">
        <v>60953.7</v>
      </c>
      <c r="BT49" s="70">
        <v>69271.6</v>
      </c>
      <c r="BU49" s="70">
        <v>68745</v>
      </c>
      <c r="BV49" s="70">
        <v>70813.5</v>
      </c>
      <c r="BW49" s="70">
        <v>66598.9</v>
      </c>
      <c r="BX49" s="70">
        <v>68015.1</v>
      </c>
      <c r="BY49" s="70">
        <v>74756.5</v>
      </c>
      <c r="BZ49" s="70">
        <v>74714.5</v>
      </c>
    </row>
    <row r="50" spans="1:78" ht="16.5" customHeight="1" hidden="1" thickBot="1">
      <c r="A50" s="108" t="s">
        <v>43</v>
      </c>
      <c r="B50" s="109">
        <f aca="true" t="shared" si="23" ref="B50:AT50">B53+B54</f>
        <v>3.3</v>
      </c>
      <c r="C50" s="110">
        <f t="shared" si="23"/>
        <v>41.4</v>
      </c>
      <c r="D50" s="109">
        <f t="shared" si="23"/>
        <v>73.6</v>
      </c>
      <c r="E50" s="110">
        <f t="shared" si="23"/>
        <v>226.6</v>
      </c>
      <c r="F50" s="110">
        <f t="shared" si="23"/>
        <v>672.4000000000001</v>
      </c>
      <c r="G50" s="110">
        <f t="shared" si="23"/>
        <v>2629.1</v>
      </c>
      <c r="H50" s="110">
        <f t="shared" si="23"/>
        <v>3472.3</v>
      </c>
      <c r="I50" s="110">
        <f t="shared" si="23"/>
        <v>6174.700000000001</v>
      </c>
      <c r="J50" s="110">
        <f t="shared" si="23"/>
        <v>9238.699999999999</v>
      </c>
      <c r="K50" s="110">
        <f t="shared" si="23"/>
        <v>10835.2</v>
      </c>
      <c r="L50" s="111">
        <f t="shared" si="23"/>
        <v>11948.925216</v>
      </c>
      <c r="M50" s="111">
        <f t="shared" si="23"/>
        <v>11658.64851</v>
      </c>
      <c r="N50" s="112">
        <f t="shared" si="23"/>
        <v>11612.776000000002</v>
      </c>
      <c r="O50" s="113">
        <f t="shared" si="23"/>
        <v>11504.005491</v>
      </c>
      <c r="P50" s="113">
        <f t="shared" si="23"/>
        <v>11466.9496</v>
      </c>
      <c r="Q50" s="114">
        <f t="shared" si="23"/>
        <v>11541.84824</v>
      </c>
      <c r="R50" s="115">
        <f t="shared" si="23"/>
        <v>11637.711319999999</v>
      </c>
      <c r="S50" s="113">
        <f t="shared" si="23"/>
        <v>11677.714100000001</v>
      </c>
      <c r="T50" s="113">
        <f t="shared" si="23"/>
        <v>11597.09276</v>
      </c>
      <c r="U50" s="113">
        <f t="shared" si="23"/>
        <v>11708.48778</v>
      </c>
      <c r="V50" s="114">
        <f t="shared" si="23"/>
        <v>11922.022079999999</v>
      </c>
      <c r="W50" s="113">
        <f t="shared" si="23"/>
        <v>11923.50922</v>
      </c>
      <c r="X50" s="114">
        <f t="shared" si="23"/>
        <v>12879.4</v>
      </c>
      <c r="Y50" s="114">
        <f t="shared" si="23"/>
        <v>12622</v>
      </c>
      <c r="Z50" s="114">
        <f t="shared" si="23"/>
        <v>12595.9</v>
      </c>
      <c r="AA50" s="114">
        <f t="shared" si="23"/>
        <v>12548</v>
      </c>
      <c r="AB50" s="114">
        <f t="shared" si="23"/>
        <v>12695.6</v>
      </c>
      <c r="AC50" s="114">
        <f t="shared" si="23"/>
        <v>13013.7</v>
      </c>
      <c r="AD50" s="114">
        <f t="shared" si="23"/>
        <v>13070.9</v>
      </c>
      <c r="AE50" s="114">
        <f t="shared" si="23"/>
        <v>13244.800000000001</v>
      </c>
      <c r="AF50" s="114">
        <f t="shared" si="23"/>
        <v>13199.4</v>
      </c>
      <c r="AG50" s="114">
        <f t="shared" si="23"/>
        <v>13493</v>
      </c>
      <c r="AH50" s="114">
        <f t="shared" si="23"/>
        <v>13557.600040000001</v>
      </c>
      <c r="AI50" s="114">
        <f t="shared" si="23"/>
        <v>13574</v>
      </c>
      <c r="AJ50" s="114">
        <f t="shared" si="23"/>
        <v>14000.699999999999</v>
      </c>
      <c r="AK50" s="113">
        <f t="shared" si="23"/>
        <v>13816.3</v>
      </c>
      <c r="AL50" s="113">
        <f t="shared" si="23"/>
        <v>13794.1</v>
      </c>
      <c r="AM50" s="113">
        <f t="shared" si="23"/>
        <v>14185.900000000001</v>
      </c>
      <c r="AN50" s="113">
        <f t="shared" si="23"/>
        <v>14201.8</v>
      </c>
      <c r="AO50" s="114">
        <f t="shared" si="23"/>
        <v>14612.9</v>
      </c>
      <c r="AP50" s="115">
        <f t="shared" si="23"/>
        <v>14608.400000000001</v>
      </c>
      <c r="AQ50" s="116">
        <f t="shared" si="23"/>
        <v>14723.8</v>
      </c>
      <c r="AR50" s="113">
        <f t="shared" si="23"/>
        <v>14762.1</v>
      </c>
      <c r="AS50" s="114">
        <f t="shared" si="23"/>
        <v>14750.4</v>
      </c>
      <c r="AT50" s="115">
        <f t="shared" si="23"/>
        <v>14754.3</v>
      </c>
      <c r="AU50" s="116">
        <v>14791.1</v>
      </c>
      <c r="AV50" s="114">
        <f aca="true" t="shared" si="24" ref="AV50:BZ50">AV53+AV54</f>
        <v>14971.1</v>
      </c>
      <c r="AW50" s="114">
        <f t="shared" si="24"/>
        <v>14832.800000000001</v>
      </c>
      <c r="AX50" s="114">
        <f t="shared" si="24"/>
        <v>14920.9</v>
      </c>
      <c r="AY50" s="114">
        <f t="shared" si="24"/>
        <v>14848.9</v>
      </c>
      <c r="AZ50" s="114">
        <f t="shared" si="24"/>
        <v>14852.099999999999</v>
      </c>
      <c r="BA50" s="117">
        <f t="shared" si="24"/>
        <v>14718.300000000001</v>
      </c>
      <c r="BB50" s="117">
        <f t="shared" si="24"/>
        <v>14691.2</v>
      </c>
      <c r="BC50" s="117">
        <f t="shared" si="24"/>
        <v>14691.8</v>
      </c>
      <c r="BD50" s="117">
        <f t="shared" si="24"/>
        <v>14693.9</v>
      </c>
      <c r="BE50" s="117">
        <f t="shared" si="24"/>
        <v>14709</v>
      </c>
      <c r="BF50" s="117">
        <f t="shared" si="24"/>
        <v>14655.2</v>
      </c>
      <c r="BG50" s="117">
        <f t="shared" si="24"/>
        <v>14644.4</v>
      </c>
      <c r="BH50" s="117">
        <f t="shared" si="24"/>
        <v>14891.699999999999</v>
      </c>
      <c r="BI50" s="117">
        <f t="shared" si="24"/>
        <v>14677.7</v>
      </c>
      <c r="BJ50" s="117">
        <f t="shared" si="24"/>
        <v>14865.4</v>
      </c>
      <c r="BK50" s="117">
        <f t="shared" si="24"/>
        <v>14758.34</v>
      </c>
      <c r="BL50" s="117">
        <f t="shared" si="24"/>
        <v>14771.800000000001</v>
      </c>
      <c r="BM50" s="117">
        <f t="shared" si="24"/>
        <v>16990.7</v>
      </c>
      <c r="BN50" s="117">
        <f t="shared" si="24"/>
        <v>14781.7</v>
      </c>
      <c r="BO50" s="117">
        <f t="shared" si="24"/>
        <v>14722.5</v>
      </c>
      <c r="BP50" s="117">
        <f t="shared" si="24"/>
        <v>15195.900000000001</v>
      </c>
      <c r="BQ50" s="117">
        <f t="shared" si="24"/>
        <v>15205.6</v>
      </c>
      <c r="BR50" s="117">
        <f t="shared" si="24"/>
        <v>15290.2</v>
      </c>
      <c r="BS50" s="117">
        <f t="shared" si="24"/>
        <v>15468.9</v>
      </c>
      <c r="BT50" s="117">
        <f t="shared" si="24"/>
        <v>16690.7</v>
      </c>
      <c r="BU50" s="117">
        <f t="shared" si="24"/>
        <v>16226.9</v>
      </c>
      <c r="BV50" s="117">
        <f t="shared" si="24"/>
        <v>16100.900000000001</v>
      </c>
      <c r="BW50" s="117">
        <f t="shared" si="24"/>
        <v>15960.900000000001</v>
      </c>
      <c r="BX50" s="117">
        <f t="shared" si="24"/>
        <v>16110.599999999999</v>
      </c>
      <c r="BY50" s="117">
        <f t="shared" si="24"/>
        <v>16082.7</v>
      </c>
      <c r="BZ50" s="117">
        <f t="shared" si="24"/>
        <v>16050.699999999999</v>
      </c>
    </row>
    <row r="51" spans="1:78" ht="16.5" customHeight="1" hidden="1">
      <c r="A51" s="118" t="s">
        <v>44</v>
      </c>
      <c r="B51" s="53"/>
      <c r="C51" s="54"/>
      <c r="D51" s="55"/>
      <c r="E51" s="56"/>
      <c r="F51" s="57"/>
      <c r="G51" s="119"/>
      <c r="H51" s="119"/>
      <c r="I51" s="119"/>
      <c r="J51" s="58"/>
      <c r="K51" s="58"/>
      <c r="L51" s="120"/>
      <c r="M51" s="121"/>
      <c r="N51" s="60"/>
      <c r="O51" s="59"/>
      <c r="P51" s="120"/>
      <c r="Q51" s="61"/>
      <c r="R51" s="62"/>
      <c r="S51" s="122"/>
      <c r="T51" s="59"/>
      <c r="U51" s="59"/>
      <c r="V51" s="61"/>
      <c r="W51" s="70"/>
      <c r="X51" s="60"/>
      <c r="Y51" s="59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0"/>
      <c r="AK51" s="59"/>
      <c r="AL51" s="59"/>
      <c r="AM51" s="59"/>
      <c r="AN51" s="59"/>
      <c r="AO51" s="60"/>
      <c r="AP51" s="64"/>
      <c r="AQ51" s="65"/>
      <c r="AR51" s="59"/>
      <c r="AS51" s="60"/>
      <c r="AT51" s="64"/>
      <c r="AU51" s="65"/>
      <c r="AV51" s="60"/>
      <c r="AW51" s="60"/>
      <c r="AX51" s="60"/>
      <c r="AY51" s="60"/>
      <c r="AZ51" s="6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155"/>
      <c r="BW51" s="155"/>
      <c r="BX51" s="70"/>
      <c r="BY51" s="70"/>
      <c r="BZ51" s="70"/>
    </row>
    <row r="52" spans="1:78" ht="16.5" customHeight="1" hidden="1">
      <c r="A52" s="45" t="s">
        <v>45</v>
      </c>
      <c r="B52" s="71">
        <f aca="true" t="shared" si="25" ref="B52:AT52">B54+B53</f>
        <v>3.3</v>
      </c>
      <c r="C52" s="72">
        <f t="shared" si="25"/>
        <v>41.4</v>
      </c>
      <c r="D52" s="74">
        <f t="shared" si="25"/>
        <v>73.6</v>
      </c>
      <c r="E52" s="72">
        <f t="shared" si="25"/>
        <v>226.6</v>
      </c>
      <c r="F52" s="72">
        <f t="shared" si="25"/>
        <v>672.4000000000001</v>
      </c>
      <c r="G52" s="72">
        <f t="shared" si="25"/>
        <v>2629.1</v>
      </c>
      <c r="H52" s="72">
        <f t="shared" si="25"/>
        <v>3472.3</v>
      </c>
      <c r="I52" s="72">
        <f t="shared" si="25"/>
        <v>6174.700000000001</v>
      </c>
      <c r="J52" s="72">
        <f t="shared" si="25"/>
        <v>9238.699999999999</v>
      </c>
      <c r="K52" s="72">
        <f t="shared" si="25"/>
        <v>10835.2</v>
      </c>
      <c r="L52" s="73">
        <f t="shared" si="25"/>
        <v>11948.925216</v>
      </c>
      <c r="M52" s="72">
        <f t="shared" si="25"/>
        <v>11658.64851</v>
      </c>
      <c r="N52" s="72">
        <f t="shared" si="25"/>
        <v>11612.776000000002</v>
      </c>
      <c r="O52" s="73">
        <f t="shared" si="25"/>
        <v>11504.005491</v>
      </c>
      <c r="P52" s="72">
        <f t="shared" si="25"/>
        <v>11466.9496</v>
      </c>
      <c r="Q52" s="72">
        <f t="shared" si="25"/>
        <v>11541.84824</v>
      </c>
      <c r="R52" s="73">
        <f t="shared" si="25"/>
        <v>11637.711319999999</v>
      </c>
      <c r="S52" s="73">
        <f t="shared" si="25"/>
        <v>11677.714100000001</v>
      </c>
      <c r="T52" s="73">
        <f t="shared" si="25"/>
        <v>11597.09276</v>
      </c>
      <c r="U52" s="73">
        <f t="shared" si="25"/>
        <v>11708.48778</v>
      </c>
      <c r="V52" s="72">
        <f t="shared" si="25"/>
        <v>11922.022079999999</v>
      </c>
      <c r="W52" s="73">
        <f t="shared" si="25"/>
        <v>11923.50922</v>
      </c>
      <c r="X52" s="72">
        <f t="shared" si="25"/>
        <v>12879.4</v>
      </c>
      <c r="Y52" s="72">
        <f t="shared" si="25"/>
        <v>12622</v>
      </c>
      <c r="Z52" s="72">
        <f t="shared" si="25"/>
        <v>12595.9</v>
      </c>
      <c r="AA52" s="72">
        <f t="shared" si="25"/>
        <v>12548</v>
      </c>
      <c r="AB52" s="72">
        <f t="shared" si="25"/>
        <v>12695.6</v>
      </c>
      <c r="AC52" s="72">
        <f t="shared" si="25"/>
        <v>13013.7</v>
      </c>
      <c r="AD52" s="72">
        <f t="shared" si="25"/>
        <v>13070.9</v>
      </c>
      <c r="AE52" s="72">
        <f t="shared" si="25"/>
        <v>13244.800000000001</v>
      </c>
      <c r="AF52" s="72">
        <f t="shared" si="25"/>
        <v>13199.4</v>
      </c>
      <c r="AG52" s="72">
        <f t="shared" si="25"/>
        <v>13493</v>
      </c>
      <c r="AH52" s="72">
        <f t="shared" si="25"/>
        <v>13557.600040000001</v>
      </c>
      <c r="AI52" s="72">
        <f t="shared" si="25"/>
        <v>13574</v>
      </c>
      <c r="AJ52" s="72">
        <f t="shared" si="25"/>
        <v>14000.699999999999</v>
      </c>
      <c r="AK52" s="73">
        <f t="shared" si="25"/>
        <v>13816.3</v>
      </c>
      <c r="AL52" s="73">
        <f t="shared" si="25"/>
        <v>13794.1</v>
      </c>
      <c r="AM52" s="73">
        <f t="shared" si="25"/>
        <v>14185.900000000001</v>
      </c>
      <c r="AN52" s="73">
        <f t="shared" si="25"/>
        <v>14201.8</v>
      </c>
      <c r="AO52" s="72">
        <f t="shared" si="25"/>
        <v>14612.9</v>
      </c>
      <c r="AP52" s="74">
        <f t="shared" si="25"/>
        <v>14608.400000000001</v>
      </c>
      <c r="AQ52" s="75">
        <f t="shared" si="25"/>
        <v>14723.8</v>
      </c>
      <c r="AR52" s="73">
        <f t="shared" si="25"/>
        <v>14762.1</v>
      </c>
      <c r="AS52" s="72">
        <f t="shared" si="25"/>
        <v>14750.4</v>
      </c>
      <c r="AT52" s="74">
        <f t="shared" si="25"/>
        <v>14754.3</v>
      </c>
      <c r="AU52" s="75">
        <v>14791.1</v>
      </c>
      <c r="AV52" s="72">
        <f aca="true" t="shared" si="26" ref="AV52:BU52">AV54+AV53</f>
        <v>14971.1</v>
      </c>
      <c r="AW52" s="72">
        <f t="shared" si="26"/>
        <v>14832.800000000001</v>
      </c>
      <c r="AX52" s="72">
        <f t="shared" si="26"/>
        <v>14920.9</v>
      </c>
      <c r="AY52" s="72">
        <f t="shared" si="26"/>
        <v>14848.9</v>
      </c>
      <c r="AZ52" s="72">
        <f t="shared" si="26"/>
        <v>14852.099999999999</v>
      </c>
      <c r="BA52" s="76">
        <f t="shared" si="26"/>
        <v>14718.300000000001</v>
      </c>
      <c r="BB52" s="76">
        <f t="shared" si="26"/>
        <v>14691.2</v>
      </c>
      <c r="BC52" s="76">
        <f t="shared" si="26"/>
        <v>14691.8</v>
      </c>
      <c r="BD52" s="76">
        <f t="shared" si="26"/>
        <v>14693.9</v>
      </c>
      <c r="BE52" s="76">
        <f t="shared" si="26"/>
        <v>14709</v>
      </c>
      <c r="BF52" s="76">
        <f t="shared" si="26"/>
        <v>14655.2</v>
      </c>
      <c r="BG52" s="76">
        <f t="shared" si="26"/>
        <v>14644.4</v>
      </c>
      <c r="BH52" s="76">
        <f t="shared" si="26"/>
        <v>14891.699999999999</v>
      </c>
      <c r="BI52" s="76">
        <f t="shared" si="26"/>
        <v>14677.7</v>
      </c>
      <c r="BJ52" s="76">
        <f t="shared" si="26"/>
        <v>14865.4</v>
      </c>
      <c r="BK52" s="76">
        <f t="shared" si="26"/>
        <v>14758.34</v>
      </c>
      <c r="BL52" s="76">
        <f t="shared" si="26"/>
        <v>14771.800000000001</v>
      </c>
      <c r="BM52" s="76">
        <f t="shared" si="26"/>
        <v>16990.7</v>
      </c>
      <c r="BN52" s="76">
        <f t="shared" si="26"/>
        <v>14781.7</v>
      </c>
      <c r="BO52" s="76">
        <f t="shared" si="26"/>
        <v>14722.5</v>
      </c>
      <c r="BP52" s="76">
        <f t="shared" si="26"/>
        <v>15195.900000000001</v>
      </c>
      <c r="BQ52" s="76">
        <f t="shared" si="26"/>
        <v>15205.6</v>
      </c>
      <c r="BR52" s="76">
        <f t="shared" si="26"/>
        <v>15290.2</v>
      </c>
      <c r="BS52" s="76">
        <f t="shared" si="26"/>
        <v>15468.9</v>
      </c>
      <c r="BT52" s="76">
        <f t="shared" si="26"/>
        <v>16690.7</v>
      </c>
      <c r="BU52" s="76">
        <f t="shared" si="26"/>
        <v>16226.9</v>
      </c>
      <c r="BV52" s="76">
        <f>BV54+BV53</f>
        <v>16100.900000000001</v>
      </c>
      <c r="BW52" s="76">
        <f>BW54+BW53</f>
        <v>15960.900000000001</v>
      </c>
      <c r="BX52" s="76">
        <f>BX54+BX53</f>
        <v>16110.599999999999</v>
      </c>
      <c r="BY52" s="76">
        <f>BY54+BY53</f>
        <v>16082.7</v>
      </c>
      <c r="BZ52" s="76">
        <f>BZ54+BZ53</f>
        <v>16050.699999999999</v>
      </c>
    </row>
    <row r="53" spans="1:78" ht="16.5" customHeight="1" hidden="1">
      <c r="A53" s="52" t="s">
        <v>5</v>
      </c>
      <c r="B53" s="53">
        <v>3.3</v>
      </c>
      <c r="C53" s="54">
        <v>41.4</v>
      </c>
      <c r="D53" s="56">
        <v>63.5</v>
      </c>
      <c r="E53" s="58">
        <v>196.7</v>
      </c>
      <c r="F53" s="58">
        <v>341</v>
      </c>
      <c r="G53" s="58">
        <f>616+1842.2</f>
        <v>2458.2</v>
      </c>
      <c r="H53" s="58">
        <f>1434.6+1754.4</f>
        <v>3189</v>
      </c>
      <c r="I53" s="58">
        <v>5606.1</v>
      </c>
      <c r="J53" s="58">
        <v>8530.8</v>
      </c>
      <c r="K53" s="58">
        <v>10090.2</v>
      </c>
      <c r="L53" s="59">
        <v>11065.780576</v>
      </c>
      <c r="M53" s="60">
        <v>10861.25494</v>
      </c>
      <c r="N53" s="60">
        <v>10873.79</v>
      </c>
      <c r="O53" s="59">
        <v>10765.000123</v>
      </c>
      <c r="P53" s="59">
        <v>10750.38128</v>
      </c>
      <c r="Q53" s="61">
        <v>10849.00784</v>
      </c>
      <c r="R53" s="62">
        <v>10948.36574</v>
      </c>
      <c r="S53" s="63">
        <v>10993.78296</v>
      </c>
      <c r="T53" s="59">
        <v>10992.24028</v>
      </c>
      <c r="U53" s="59">
        <v>11098.54933</v>
      </c>
      <c r="V53" s="61">
        <v>11331.55129</v>
      </c>
      <c r="W53" s="64">
        <v>11322.02852</v>
      </c>
      <c r="X53" s="57">
        <v>12199.6</v>
      </c>
      <c r="Y53" s="59">
        <v>12012.4</v>
      </c>
      <c r="Z53" s="65">
        <v>12033.4</v>
      </c>
      <c r="AA53" s="65">
        <v>11995.7</v>
      </c>
      <c r="AB53" s="65">
        <v>12143.7</v>
      </c>
      <c r="AC53" s="65">
        <v>12465.1</v>
      </c>
      <c r="AD53" s="65">
        <v>12547.6</v>
      </c>
      <c r="AE53" s="65">
        <v>12720.7</v>
      </c>
      <c r="AF53" s="65">
        <v>12678.1</v>
      </c>
      <c r="AG53" s="65">
        <v>12869.5</v>
      </c>
      <c r="AH53" s="65">
        <v>12952.76684</v>
      </c>
      <c r="AI53" s="65">
        <v>12971.4</v>
      </c>
      <c r="AJ53" s="60">
        <v>13302.8</v>
      </c>
      <c r="AK53" s="59">
        <v>13171</v>
      </c>
      <c r="AL53" s="59">
        <v>13154.2</v>
      </c>
      <c r="AM53" s="59">
        <v>13532.2</v>
      </c>
      <c r="AN53" s="59">
        <v>13569.5</v>
      </c>
      <c r="AO53" s="60">
        <v>13979.3</v>
      </c>
      <c r="AP53" s="64">
        <v>13964.7</v>
      </c>
      <c r="AQ53" s="65">
        <v>14143</v>
      </c>
      <c r="AR53" s="59">
        <v>14205.35</v>
      </c>
      <c r="AS53" s="60">
        <v>14199.5</v>
      </c>
      <c r="AT53" s="64">
        <v>14205</v>
      </c>
      <c r="AU53" s="65">
        <v>14257.1</v>
      </c>
      <c r="AV53" s="60">
        <v>14376.2</v>
      </c>
      <c r="AW53" s="60">
        <v>14308.2</v>
      </c>
      <c r="AX53" s="60">
        <v>14346</v>
      </c>
      <c r="AY53" s="60">
        <v>14279.6</v>
      </c>
      <c r="AZ53" s="60">
        <v>14276.8</v>
      </c>
      <c r="BA53" s="70">
        <v>14155.6</v>
      </c>
      <c r="BB53" s="70">
        <v>14134</v>
      </c>
      <c r="BC53" s="70">
        <v>14133.8</v>
      </c>
      <c r="BD53" s="70">
        <v>14124.8</v>
      </c>
      <c r="BE53" s="70">
        <v>14140.8</v>
      </c>
      <c r="BF53" s="70">
        <v>14115.1</v>
      </c>
      <c r="BG53" s="70">
        <v>14119.4</v>
      </c>
      <c r="BH53" s="70">
        <v>14360.3</v>
      </c>
      <c r="BI53" s="70">
        <v>14141.5</v>
      </c>
      <c r="BJ53" s="70">
        <v>14346.8</v>
      </c>
      <c r="BK53" s="70">
        <v>14237.84</v>
      </c>
      <c r="BL53" s="70">
        <v>14258.7</v>
      </c>
      <c r="BM53" s="70">
        <v>16467.9</v>
      </c>
      <c r="BN53" s="70">
        <v>14257</v>
      </c>
      <c r="BO53" s="70">
        <v>14200.9</v>
      </c>
      <c r="BP53" s="70">
        <v>14674.7</v>
      </c>
      <c r="BQ53" s="70">
        <v>14682</v>
      </c>
      <c r="BR53" s="70">
        <v>14707.6</v>
      </c>
      <c r="BS53" s="70">
        <v>14889.8</v>
      </c>
      <c r="BT53" s="70">
        <v>16084.7</v>
      </c>
      <c r="BU53" s="70">
        <v>15659</v>
      </c>
      <c r="BV53" s="70">
        <v>15539.7</v>
      </c>
      <c r="BW53" s="70">
        <v>15382.2</v>
      </c>
      <c r="BX53" s="70">
        <v>15513.3</v>
      </c>
      <c r="BY53" s="70">
        <v>15488.2</v>
      </c>
      <c r="BZ53" s="70">
        <v>15413.3</v>
      </c>
    </row>
    <row r="54" spans="1:78" ht="16.5" customHeight="1" hidden="1">
      <c r="A54" s="52" t="s">
        <v>6</v>
      </c>
      <c r="B54" s="53">
        <v>0</v>
      </c>
      <c r="C54" s="54">
        <v>0</v>
      </c>
      <c r="D54" s="56">
        <v>10.1</v>
      </c>
      <c r="E54" s="58">
        <v>29.9</v>
      </c>
      <c r="F54" s="58">
        <f>267.6+63.8</f>
        <v>331.40000000000003</v>
      </c>
      <c r="G54" s="58">
        <f>55.7+115.2</f>
        <v>170.9</v>
      </c>
      <c r="H54" s="58">
        <f>108.1+175.2</f>
        <v>283.29999999999995</v>
      </c>
      <c r="I54" s="58">
        <v>568.6</v>
      </c>
      <c r="J54" s="58">
        <v>707.9</v>
      </c>
      <c r="K54" s="58">
        <v>745</v>
      </c>
      <c r="L54" s="59">
        <v>883.14464</v>
      </c>
      <c r="M54" s="60">
        <v>797.39357</v>
      </c>
      <c r="N54" s="60">
        <v>738.986</v>
      </c>
      <c r="O54" s="59">
        <v>739.005368</v>
      </c>
      <c r="P54" s="59">
        <v>716.56832</v>
      </c>
      <c r="Q54" s="61">
        <v>692.8404</v>
      </c>
      <c r="R54" s="62">
        <v>689.34558</v>
      </c>
      <c r="S54" s="63">
        <v>683.93114</v>
      </c>
      <c r="T54" s="59">
        <v>604.85248</v>
      </c>
      <c r="U54" s="59">
        <v>609.93845</v>
      </c>
      <c r="V54" s="61">
        <v>590.47079</v>
      </c>
      <c r="W54" s="64">
        <v>601.4807</v>
      </c>
      <c r="X54" s="57">
        <v>679.8</v>
      </c>
      <c r="Y54" s="59">
        <v>609.6</v>
      </c>
      <c r="Z54" s="65">
        <v>562.5</v>
      </c>
      <c r="AA54" s="65">
        <v>552.3</v>
      </c>
      <c r="AB54" s="65">
        <v>551.9</v>
      </c>
      <c r="AC54" s="65">
        <v>548.6</v>
      </c>
      <c r="AD54" s="65">
        <v>523.3</v>
      </c>
      <c r="AE54" s="65">
        <v>524.1</v>
      </c>
      <c r="AF54" s="65">
        <v>521.3</v>
      </c>
      <c r="AG54" s="65">
        <v>623.5</v>
      </c>
      <c r="AH54" s="65">
        <v>604.8332</v>
      </c>
      <c r="AI54" s="65">
        <v>602.6</v>
      </c>
      <c r="AJ54" s="60">
        <v>697.9</v>
      </c>
      <c r="AK54" s="59">
        <v>645.3</v>
      </c>
      <c r="AL54" s="59">
        <v>639.9</v>
      </c>
      <c r="AM54" s="59">
        <v>653.7</v>
      </c>
      <c r="AN54" s="59">
        <v>632.3</v>
      </c>
      <c r="AO54" s="60">
        <v>633.6</v>
      </c>
      <c r="AP54" s="64">
        <v>643.7</v>
      </c>
      <c r="AQ54" s="65">
        <v>580.8</v>
      </c>
      <c r="AR54" s="59">
        <v>556.75</v>
      </c>
      <c r="AS54" s="60">
        <v>550.9</v>
      </c>
      <c r="AT54" s="64">
        <v>549.3</v>
      </c>
      <c r="AU54" s="65">
        <v>534</v>
      </c>
      <c r="AV54" s="60">
        <v>594.9</v>
      </c>
      <c r="AW54" s="60">
        <v>524.6</v>
      </c>
      <c r="AX54" s="60">
        <v>574.9</v>
      </c>
      <c r="AY54" s="60">
        <v>569.3</v>
      </c>
      <c r="AZ54" s="60">
        <v>575.3</v>
      </c>
      <c r="BA54" s="70">
        <v>562.7</v>
      </c>
      <c r="BB54" s="70">
        <v>557.2</v>
      </c>
      <c r="BC54" s="70">
        <v>558</v>
      </c>
      <c r="BD54" s="70">
        <v>569.1</v>
      </c>
      <c r="BE54" s="70">
        <v>568.2</v>
      </c>
      <c r="BF54" s="70">
        <v>540.1</v>
      </c>
      <c r="BG54" s="70">
        <v>525</v>
      </c>
      <c r="BH54" s="70">
        <v>531.4</v>
      </c>
      <c r="BI54" s="70">
        <v>536.2</v>
      </c>
      <c r="BJ54" s="70">
        <v>518.6</v>
      </c>
      <c r="BK54" s="70">
        <v>520.5</v>
      </c>
      <c r="BL54" s="70">
        <v>513.1</v>
      </c>
      <c r="BM54" s="70">
        <v>522.8</v>
      </c>
      <c r="BN54" s="70">
        <v>524.7</v>
      </c>
      <c r="BO54" s="70">
        <v>521.6</v>
      </c>
      <c r="BP54" s="70">
        <v>521.2</v>
      </c>
      <c r="BQ54" s="70">
        <v>523.6</v>
      </c>
      <c r="BR54" s="70">
        <v>582.6</v>
      </c>
      <c r="BS54" s="70">
        <v>579.1</v>
      </c>
      <c r="BT54" s="70">
        <v>606</v>
      </c>
      <c r="BU54" s="70">
        <v>567.9</v>
      </c>
      <c r="BV54" s="70">
        <v>561.2</v>
      </c>
      <c r="BW54" s="70">
        <v>578.7</v>
      </c>
      <c r="BX54" s="70">
        <v>597.3</v>
      </c>
      <c r="BY54" s="70">
        <v>594.5</v>
      </c>
      <c r="BZ54" s="70">
        <v>637.4</v>
      </c>
    </row>
    <row r="55" spans="1:78" ht="16.5" customHeight="1" hidden="1">
      <c r="A55" s="83" t="s">
        <v>46</v>
      </c>
      <c r="B55" s="71">
        <f aca="true" t="shared" si="27" ref="B55:AT55">B56+B57+B58</f>
        <v>3.3</v>
      </c>
      <c r="C55" s="72">
        <f t="shared" si="27"/>
        <v>41.4</v>
      </c>
      <c r="D55" s="74">
        <f t="shared" si="27"/>
        <v>73.6474614</v>
      </c>
      <c r="E55" s="72">
        <f t="shared" si="27"/>
        <v>226.633176</v>
      </c>
      <c r="F55" s="72">
        <f t="shared" si="27"/>
        <v>672.35</v>
      </c>
      <c r="G55" s="72">
        <f t="shared" si="27"/>
        <v>2629.1000000000004</v>
      </c>
      <c r="H55" s="72">
        <f t="shared" si="27"/>
        <v>3472.2627758</v>
      </c>
      <c r="I55" s="72">
        <f t="shared" si="27"/>
        <v>6174.7</v>
      </c>
      <c r="J55" s="72">
        <f t="shared" si="27"/>
        <v>9238.6</v>
      </c>
      <c r="K55" s="72">
        <f t="shared" si="27"/>
        <v>10835.2</v>
      </c>
      <c r="L55" s="73">
        <f t="shared" si="27"/>
        <v>11948.908064000001</v>
      </c>
      <c r="M55" s="72">
        <f t="shared" si="27"/>
        <v>11658.64851</v>
      </c>
      <c r="N55" s="72">
        <f t="shared" si="27"/>
        <v>11612.776</v>
      </c>
      <c r="O55" s="73">
        <f t="shared" si="27"/>
        <v>11504.005491</v>
      </c>
      <c r="P55" s="72">
        <f t="shared" si="27"/>
        <v>11466.9496</v>
      </c>
      <c r="Q55" s="72">
        <f t="shared" si="27"/>
        <v>11541.84824</v>
      </c>
      <c r="R55" s="73">
        <f t="shared" si="27"/>
        <v>11637.71132</v>
      </c>
      <c r="S55" s="73">
        <f t="shared" si="27"/>
        <v>11677.714100000001</v>
      </c>
      <c r="T55" s="73">
        <f t="shared" si="27"/>
        <v>11597.09276</v>
      </c>
      <c r="U55" s="73">
        <f t="shared" si="27"/>
        <v>11708.5</v>
      </c>
      <c r="V55" s="72">
        <f t="shared" si="27"/>
        <v>11922.02208</v>
      </c>
      <c r="W55" s="73">
        <f t="shared" si="27"/>
        <v>11923.50922</v>
      </c>
      <c r="X55" s="72">
        <f t="shared" si="27"/>
        <v>12879.359999999999</v>
      </c>
      <c r="Y55" s="72">
        <f t="shared" si="27"/>
        <v>12622</v>
      </c>
      <c r="Z55" s="72">
        <f t="shared" si="27"/>
        <v>12595.9</v>
      </c>
      <c r="AA55" s="72">
        <f t="shared" si="27"/>
        <v>12548</v>
      </c>
      <c r="AB55" s="72">
        <f t="shared" si="27"/>
        <v>12695.599999999999</v>
      </c>
      <c r="AC55" s="72">
        <f t="shared" si="27"/>
        <v>13013.7</v>
      </c>
      <c r="AD55" s="72">
        <f t="shared" si="27"/>
        <v>13070.9</v>
      </c>
      <c r="AE55" s="72">
        <f t="shared" si="27"/>
        <v>13244.9</v>
      </c>
      <c r="AF55" s="72">
        <f t="shared" si="27"/>
        <v>13199.4</v>
      </c>
      <c r="AG55" s="72">
        <f t="shared" si="27"/>
        <v>13493</v>
      </c>
      <c r="AH55" s="72">
        <f t="shared" si="27"/>
        <v>13557.60004</v>
      </c>
      <c r="AI55" s="72">
        <f t="shared" si="27"/>
        <v>13573.9904185</v>
      </c>
      <c r="AJ55" s="72">
        <f t="shared" si="27"/>
        <v>14000.699999999999</v>
      </c>
      <c r="AK55" s="73">
        <f t="shared" si="27"/>
        <v>13816.300000000001</v>
      </c>
      <c r="AL55" s="73">
        <f t="shared" si="27"/>
        <v>13794.1</v>
      </c>
      <c r="AM55" s="73">
        <f t="shared" si="27"/>
        <v>14185.899999999998</v>
      </c>
      <c r="AN55" s="73">
        <f t="shared" si="27"/>
        <v>14201.8</v>
      </c>
      <c r="AO55" s="72">
        <f t="shared" si="27"/>
        <v>14612.9</v>
      </c>
      <c r="AP55" s="74">
        <f t="shared" si="27"/>
        <v>14608.36</v>
      </c>
      <c r="AQ55" s="75">
        <f t="shared" si="27"/>
        <v>14723.800000000001</v>
      </c>
      <c r="AR55" s="73">
        <f t="shared" si="27"/>
        <v>14762.1</v>
      </c>
      <c r="AS55" s="72">
        <f t="shared" si="27"/>
        <v>14750.4</v>
      </c>
      <c r="AT55" s="74">
        <f t="shared" si="27"/>
        <v>14754.3</v>
      </c>
      <c r="AU55" s="75">
        <v>14791.08748</v>
      </c>
      <c r="AV55" s="72">
        <f aca="true" t="shared" si="28" ref="AV55:BU55">AV56+AV57+AV58</f>
        <v>14917.054</v>
      </c>
      <c r="AW55" s="72">
        <f t="shared" si="28"/>
        <v>14832.93</v>
      </c>
      <c r="AX55" s="72">
        <f t="shared" si="28"/>
        <v>14920.9</v>
      </c>
      <c r="AY55" s="72">
        <f t="shared" si="28"/>
        <v>14848.900000000001</v>
      </c>
      <c r="AZ55" s="72">
        <f t="shared" si="28"/>
        <v>14852.1</v>
      </c>
      <c r="BA55" s="76">
        <f t="shared" si="28"/>
        <v>14718.300000000001</v>
      </c>
      <c r="BB55" s="76">
        <f t="shared" si="28"/>
        <v>14691.2</v>
      </c>
      <c r="BC55" s="76">
        <f t="shared" si="28"/>
        <v>14691.800000000001</v>
      </c>
      <c r="BD55" s="76">
        <f t="shared" si="28"/>
        <v>14693.899999999998</v>
      </c>
      <c r="BE55" s="76">
        <f t="shared" si="28"/>
        <v>14709</v>
      </c>
      <c r="BF55" s="76">
        <f t="shared" si="28"/>
        <v>14655.199999999999</v>
      </c>
      <c r="BG55" s="76">
        <f t="shared" si="28"/>
        <v>14644.4</v>
      </c>
      <c r="BH55" s="76">
        <f t="shared" si="28"/>
        <v>14891.7</v>
      </c>
      <c r="BI55" s="76">
        <f t="shared" si="28"/>
        <v>14677.699999999999</v>
      </c>
      <c r="BJ55" s="76">
        <f t="shared" si="28"/>
        <v>14865.4</v>
      </c>
      <c r="BK55" s="76">
        <f t="shared" si="28"/>
        <v>14758.34</v>
      </c>
      <c r="BL55" s="76">
        <f t="shared" si="28"/>
        <v>14771.8</v>
      </c>
      <c r="BM55" s="76">
        <f t="shared" si="28"/>
        <v>16990.7</v>
      </c>
      <c r="BN55" s="76">
        <f t="shared" si="28"/>
        <v>14781.699999999999</v>
      </c>
      <c r="BO55" s="76">
        <f t="shared" si="28"/>
        <v>14722.5</v>
      </c>
      <c r="BP55" s="76">
        <f t="shared" si="28"/>
        <v>15195.9</v>
      </c>
      <c r="BQ55" s="76">
        <f t="shared" si="28"/>
        <v>15205.6</v>
      </c>
      <c r="BR55" s="76">
        <f t="shared" si="28"/>
        <v>15290.2</v>
      </c>
      <c r="BS55" s="76">
        <f t="shared" si="28"/>
        <v>15468.9</v>
      </c>
      <c r="BT55" s="76">
        <f t="shared" si="28"/>
        <v>16690.7</v>
      </c>
      <c r="BU55" s="76">
        <f t="shared" si="28"/>
        <v>16226.900000000001</v>
      </c>
      <c r="BV55" s="76">
        <f>BV56+BV57+BV58</f>
        <v>16100.9</v>
      </c>
      <c r="BW55" s="76">
        <f>BW56+BW57+BW58</f>
        <v>15960.899999999998</v>
      </c>
      <c r="BX55" s="76">
        <f>BX56+BX57+BX58</f>
        <v>16110.600000000002</v>
      </c>
      <c r="BY55" s="76">
        <f>BY56+BY57+BY58</f>
        <v>16082.7</v>
      </c>
      <c r="BZ55" s="76">
        <f>BZ56+BZ57+BZ58</f>
        <v>16050.65</v>
      </c>
    </row>
    <row r="56" spans="1:78" ht="16.5" customHeight="1" hidden="1">
      <c r="A56" s="90" t="s">
        <v>47</v>
      </c>
      <c r="B56" s="53">
        <v>3.3</v>
      </c>
      <c r="C56" s="54">
        <v>41.4</v>
      </c>
      <c r="D56" s="56">
        <v>63.5</v>
      </c>
      <c r="E56" s="58">
        <v>196.7</v>
      </c>
      <c r="F56" s="58">
        <f>341+267.6</f>
        <v>608.6</v>
      </c>
      <c r="G56" s="54">
        <v>671.7</v>
      </c>
      <c r="H56" s="58">
        <f>1316.87+62.56+4.014*H62+0.2</f>
        <v>1393.2041437999999</v>
      </c>
      <c r="I56" s="58">
        <v>3296.6</v>
      </c>
      <c r="J56" s="58">
        <v>5422.5</v>
      </c>
      <c r="K56" s="58">
        <v>6494.86</v>
      </c>
      <c r="L56" s="59">
        <v>7210.891584</v>
      </c>
      <c r="M56" s="60">
        <v>7063.47147</v>
      </c>
      <c r="N56" s="60">
        <v>7104.688189</v>
      </c>
      <c r="O56" s="59">
        <v>7089.8458715</v>
      </c>
      <c r="P56" s="59">
        <v>7108.81472</v>
      </c>
      <c r="Q56" s="61">
        <v>7140.98144</v>
      </c>
      <c r="R56" s="62">
        <v>7109.86343</v>
      </c>
      <c r="S56" s="63">
        <v>7068.33948</v>
      </c>
      <c r="T56" s="59">
        <v>7078.95332</v>
      </c>
      <c r="U56" s="59">
        <v>7053.9</v>
      </c>
      <c r="V56" s="61">
        <v>7269.85911</v>
      </c>
      <c r="W56" s="64">
        <v>7235.45596</v>
      </c>
      <c r="X56" s="60">
        <v>7715.58</v>
      </c>
      <c r="Y56" s="59">
        <v>7502.2</v>
      </c>
      <c r="Z56" s="65">
        <v>7522.7</v>
      </c>
      <c r="AA56" s="65">
        <v>7432.9</v>
      </c>
      <c r="AB56" s="65">
        <v>7522.6</v>
      </c>
      <c r="AC56" s="65">
        <v>7536.5</v>
      </c>
      <c r="AD56" s="65">
        <v>7536.1</v>
      </c>
      <c r="AE56" s="65">
        <v>7544.1</v>
      </c>
      <c r="AF56" s="65">
        <v>7605</v>
      </c>
      <c r="AG56" s="65">
        <v>7693.3</v>
      </c>
      <c r="AH56" s="65">
        <v>7692.3339797</v>
      </c>
      <c r="AI56" s="65">
        <v>7767.1</v>
      </c>
      <c r="AJ56" s="60">
        <v>8162</v>
      </c>
      <c r="AK56" s="59">
        <v>8137.84</v>
      </c>
      <c r="AL56" s="59">
        <v>8129.5</v>
      </c>
      <c r="AM56" s="59">
        <v>8439.3</v>
      </c>
      <c r="AN56" s="59">
        <v>8580.9</v>
      </c>
      <c r="AO56" s="60">
        <v>8943.5</v>
      </c>
      <c r="AP56" s="64">
        <v>8863.43</v>
      </c>
      <c r="AQ56" s="65">
        <v>8857.15</v>
      </c>
      <c r="AR56" s="59">
        <v>8839.3</v>
      </c>
      <c r="AS56" s="60">
        <v>8803.3</v>
      </c>
      <c r="AT56" s="64">
        <v>8807.3</v>
      </c>
      <c r="AU56" s="65">
        <v>8853.39916</v>
      </c>
      <c r="AV56" s="60">
        <v>8758.5</v>
      </c>
      <c r="AW56" s="60">
        <v>8843.1</v>
      </c>
      <c r="AX56" s="60">
        <v>8815.5</v>
      </c>
      <c r="AY56" s="60">
        <v>8807.7</v>
      </c>
      <c r="AZ56" s="60">
        <v>8767.9</v>
      </c>
      <c r="BA56" s="70">
        <v>8733.7</v>
      </c>
      <c r="BB56" s="70">
        <v>8705</v>
      </c>
      <c r="BC56" s="70">
        <v>8711.1</v>
      </c>
      <c r="BD56" s="70">
        <v>8729.4</v>
      </c>
      <c r="BE56" s="70">
        <v>8772.4</v>
      </c>
      <c r="BF56" s="70">
        <v>8744.5</v>
      </c>
      <c r="BG56" s="70">
        <v>8743.3</v>
      </c>
      <c r="BH56" s="70">
        <v>8725.8</v>
      </c>
      <c r="BI56" s="70">
        <v>8744</v>
      </c>
      <c r="BJ56" s="70">
        <v>8759.9</v>
      </c>
      <c r="BK56" s="70">
        <v>8703.2</v>
      </c>
      <c r="BL56" s="70">
        <v>8738.9</v>
      </c>
      <c r="BM56" s="70">
        <v>10937.1</v>
      </c>
      <c r="BN56" s="70">
        <v>10954</v>
      </c>
      <c r="BO56" s="70">
        <v>10954.8</v>
      </c>
      <c r="BP56" s="70">
        <v>11324.8</v>
      </c>
      <c r="BQ56" s="70">
        <v>11327</v>
      </c>
      <c r="BR56" s="70">
        <v>11354.2</v>
      </c>
      <c r="BS56" s="70">
        <v>11545</v>
      </c>
      <c r="BT56" s="70">
        <v>12782.3</v>
      </c>
      <c r="BU56" s="70">
        <v>12256.1</v>
      </c>
      <c r="BV56" s="70">
        <v>12215.4</v>
      </c>
      <c r="BW56" s="70">
        <v>12157.3</v>
      </c>
      <c r="BX56" s="70">
        <v>12337.2</v>
      </c>
      <c r="BY56" s="70">
        <v>12308.5</v>
      </c>
      <c r="BZ56" s="70">
        <v>12307</v>
      </c>
    </row>
    <row r="57" spans="1:78" ht="16.5" customHeight="1" hidden="1">
      <c r="A57" s="90" t="s">
        <v>23</v>
      </c>
      <c r="B57" s="53">
        <v>0</v>
      </c>
      <c r="C57" s="54">
        <v>0</v>
      </c>
      <c r="D57" s="56">
        <v>10.1474614</v>
      </c>
      <c r="E57" s="58">
        <v>29.933176</v>
      </c>
      <c r="F57" s="58">
        <v>63.75</v>
      </c>
      <c r="G57" s="58">
        <v>1957.4</v>
      </c>
      <c r="H57" s="58">
        <f>116.27+39.2+566.96*H62</f>
        <v>2072.758632</v>
      </c>
      <c r="I57" s="58">
        <v>2843.9</v>
      </c>
      <c r="J57" s="58">
        <v>3783.1</v>
      </c>
      <c r="K57" s="58">
        <v>4321.14</v>
      </c>
      <c r="L57" s="59">
        <v>4726.81648</v>
      </c>
      <c r="M57" s="60">
        <v>4584.30704</v>
      </c>
      <c r="N57" s="60">
        <v>4497.44715</v>
      </c>
      <c r="O57" s="59">
        <v>4404.308614</v>
      </c>
      <c r="P57" s="59">
        <v>4349.73488</v>
      </c>
      <c r="Q57" s="61">
        <v>4392.1068</v>
      </c>
      <c r="R57" s="62">
        <v>4518.87789</v>
      </c>
      <c r="S57" s="63">
        <v>4601.01462</v>
      </c>
      <c r="T57" s="59">
        <v>4510.95944</v>
      </c>
      <c r="U57" s="59">
        <v>4646.1</v>
      </c>
      <c r="V57" s="61">
        <v>4644.85297</v>
      </c>
      <c r="W57" s="64">
        <v>4680.29626</v>
      </c>
      <c r="X57" s="60">
        <v>5157.38</v>
      </c>
      <c r="Y57" s="59">
        <v>5113.1</v>
      </c>
      <c r="Z57" s="65">
        <v>5066.7</v>
      </c>
      <c r="AA57" s="65">
        <v>5109.8</v>
      </c>
      <c r="AB57" s="65">
        <v>5167.7</v>
      </c>
      <c r="AC57" s="65">
        <v>5471.5</v>
      </c>
      <c r="AD57" s="65">
        <v>5529.5</v>
      </c>
      <c r="AE57" s="65">
        <v>5695.2</v>
      </c>
      <c r="AF57" s="65">
        <v>5589.1</v>
      </c>
      <c r="AG57" s="65">
        <v>5794.8</v>
      </c>
      <c r="AH57" s="65">
        <v>5860.5756418</v>
      </c>
      <c r="AI57" s="65">
        <v>5802.2</v>
      </c>
      <c r="AJ57" s="60">
        <v>5836.9</v>
      </c>
      <c r="AK57" s="59">
        <v>5676.56</v>
      </c>
      <c r="AL57" s="59">
        <v>5662.7</v>
      </c>
      <c r="AM57" s="59">
        <v>5744.8</v>
      </c>
      <c r="AN57" s="59">
        <v>5619.2</v>
      </c>
      <c r="AO57" s="60">
        <v>5667.6</v>
      </c>
      <c r="AP57" s="64">
        <v>5743.13</v>
      </c>
      <c r="AQ57" s="65">
        <v>5866.05</v>
      </c>
      <c r="AR57" s="59">
        <v>5922.2</v>
      </c>
      <c r="AS57" s="60">
        <v>5946.6</v>
      </c>
      <c r="AT57" s="64">
        <v>5946.5</v>
      </c>
      <c r="AU57" s="65">
        <v>5937.25832</v>
      </c>
      <c r="AV57" s="60">
        <v>6158.5</v>
      </c>
      <c r="AW57" s="60">
        <v>5989.4</v>
      </c>
      <c r="AX57" s="60">
        <v>6042.8</v>
      </c>
      <c r="AY57" s="60">
        <v>5980.7</v>
      </c>
      <c r="AZ57" s="60">
        <v>6024.1</v>
      </c>
      <c r="BA57" s="70">
        <v>5935.9</v>
      </c>
      <c r="BB57" s="70">
        <v>5891</v>
      </c>
      <c r="BC57" s="70">
        <v>5934.6</v>
      </c>
      <c r="BD57" s="70">
        <v>5917.7</v>
      </c>
      <c r="BE57" s="70">
        <v>5889</v>
      </c>
      <c r="BF57" s="70">
        <v>5864.4</v>
      </c>
      <c r="BG57" s="70">
        <v>5855.5</v>
      </c>
      <c r="BH57" s="70">
        <v>6118.2</v>
      </c>
      <c r="BI57" s="70">
        <v>5882.9</v>
      </c>
      <c r="BJ57" s="70">
        <v>6054.4</v>
      </c>
      <c r="BK57" s="70">
        <v>6006.44</v>
      </c>
      <c r="BL57" s="70">
        <v>5989.2</v>
      </c>
      <c r="BM57" s="70">
        <v>6010.3</v>
      </c>
      <c r="BN57" s="70">
        <v>3786.3</v>
      </c>
      <c r="BO57" s="70">
        <v>3725</v>
      </c>
      <c r="BP57" s="70">
        <v>3833.5</v>
      </c>
      <c r="BQ57" s="70">
        <v>3841.2</v>
      </c>
      <c r="BR57" s="70">
        <v>3897.7</v>
      </c>
      <c r="BS57" s="70">
        <v>3884</v>
      </c>
      <c r="BT57" s="70">
        <v>3874</v>
      </c>
      <c r="BU57" s="70">
        <v>3936.3</v>
      </c>
      <c r="BV57" s="70">
        <v>3853</v>
      </c>
      <c r="BW57" s="70">
        <v>3775.3</v>
      </c>
      <c r="BX57" s="70">
        <v>3745.2</v>
      </c>
      <c r="BY57" s="70">
        <v>3748.2</v>
      </c>
      <c r="BZ57" s="70">
        <v>3717.6</v>
      </c>
    </row>
    <row r="58" spans="1:78" ht="16.5" customHeight="1" hidden="1">
      <c r="A58" s="90" t="s">
        <v>21</v>
      </c>
      <c r="B58" s="53">
        <v>0</v>
      </c>
      <c r="C58" s="54">
        <v>0</v>
      </c>
      <c r="D58" s="56">
        <v>0</v>
      </c>
      <c r="E58" s="58">
        <v>0</v>
      </c>
      <c r="F58" s="58">
        <v>0</v>
      </c>
      <c r="G58" s="58">
        <v>0</v>
      </c>
      <c r="H58" s="58">
        <v>6.3</v>
      </c>
      <c r="I58" s="58">
        <v>34.2</v>
      </c>
      <c r="J58" s="58">
        <v>33</v>
      </c>
      <c r="K58" s="58">
        <v>19.2</v>
      </c>
      <c r="L58" s="59">
        <v>11.2</v>
      </c>
      <c r="M58" s="60">
        <v>10.87</v>
      </c>
      <c r="N58" s="60">
        <v>10.640661</v>
      </c>
      <c r="O58" s="59">
        <v>9.8510055</v>
      </c>
      <c r="P58" s="59">
        <v>8.4</v>
      </c>
      <c r="Q58" s="61">
        <v>8.76</v>
      </c>
      <c r="R58" s="62">
        <v>8.97</v>
      </c>
      <c r="S58" s="63">
        <v>8.36</v>
      </c>
      <c r="T58" s="59">
        <v>7.18</v>
      </c>
      <c r="U58" s="59">
        <v>8.5</v>
      </c>
      <c r="V58" s="61">
        <v>7.31</v>
      </c>
      <c r="W58" s="64">
        <v>7.757</v>
      </c>
      <c r="X58" s="60">
        <v>6.4</v>
      </c>
      <c r="Y58" s="59">
        <v>6.7</v>
      </c>
      <c r="Z58" s="65">
        <v>6.5</v>
      </c>
      <c r="AA58" s="65">
        <v>5.3</v>
      </c>
      <c r="AB58" s="65">
        <v>5.3</v>
      </c>
      <c r="AC58" s="65">
        <v>5.7</v>
      </c>
      <c r="AD58" s="65">
        <v>5.3</v>
      </c>
      <c r="AE58" s="65">
        <v>5.6</v>
      </c>
      <c r="AF58" s="65">
        <v>5.3</v>
      </c>
      <c r="AG58" s="65">
        <v>4.9</v>
      </c>
      <c r="AH58" s="65">
        <v>4.6904185</v>
      </c>
      <c r="AI58" s="65">
        <v>4.6904185</v>
      </c>
      <c r="AJ58" s="60">
        <v>1.8</v>
      </c>
      <c r="AK58" s="59">
        <v>1.9</v>
      </c>
      <c r="AL58" s="59">
        <v>1.9</v>
      </c>
      <c r="AM58" s="59">
        <v>1.8</v>
      </c>
      <c r="AN58" s="59">
        <v>1.7000000000000002</v>
      </c>
      <c r="AO58" s="81">
        <v>1.8</v>
      </c>
      <c r="AP58" s="64">
        <v>1.8</v>
      </c>
      <c r="AQ58" s="65">
        <v>0.6000000000000001</v>
      </c>
      <c r="AR58" s="59">
        <v>0.6000000000000001</v>
      </c>
      <c r="AS58" s="60">
        <v>0.5</v>
      </c>
      <c r="AT58" s="64">
        <v>0.5</v>
      </c>
      <c r="AU58" s="65">
        <v>0.43</v>
      </c>
      <c r="AV58" s="60">
        <v>0.054</v>
      </c>
      <c r="AW58" s="60">
        <v>0.43</v>
      </c>
      <c r="AX58" s="60">
        <v>62.6</v>
      </c>
      <c r="AY58" s="60">
        <v>60.5</v>
      </c>
      <c r="AZ58" s="60">
        <v>60.1</v>
      </c>
      <c r="BA58" s="70">
        <v>48.7</v>
      </c>
      <c r="BB58" s="70">
        <v>95.2</v>
      </c>
      <c r="BC58" s="70">
        <v>46.1</v>
      </c>
      <c r="BD58" s="70">
        <v>46.8</v>
      </c>
      <c r="BE58" s="70">
        <v>47.6</v>
      </c>
      <c r="BF58" s="70">
        <v>46.3</v>
      </c>
      <c r="BG58" s="70">
        <v>45.6</v>
      </c>
      <c r="BH58" s="70">
        <v>47.7</v>
      </c>
      <c r="BI58" s="70">
        <v>50.8</v>
      </c>
      <c r="BJ58" s="70">
        <v>51.1</v>
      </c>
      <c r="BK58" s="70">
        <v>48.7</v>
      </c>
      <c r="BL58" s="70">
        <v>43.7</v>
      </c>
      <c r="BM58" s="70">
        <v>43.3</v>
      </c>
      <c r="BN58" s="70">
        <v>41.4</v>
      </c>
      <c r="BO58" s="70">
        <v>42.7</v>
      </c>
      <c r="BP58" s="70">
        <v>37.6</v>
      </c>
      <c r="BQ58" s="70">
        <v>37.4</v>
      </c>
      <c r="BR58" s="70">
        <v>38.3</v>
      </c>
      <c r="BS58" s="70">
        <v>39.9</v>
      </c>
      <c r="BT58" s="70">
        <v>34.4</v>
      </c>
      <c r="BU58" s="70">
        <v>34.5</v>
      </c>
      <c r="BV58" s="70">
        <v>32.5</v>
      </c>
      <c r="BW58" s="70">
        <v>28.3</v>
      </c>
      <c r="BX58" s="70">
        <v>28.2</v>
      </c>
      <c r="BY58" s="70">
        <v>26</v>
      </c>
      <c r="BZ58" s="70">
        <v>26.05</v>
      </c>
    </row>
    <row r="59" spans="1:78" ht="16.5" customHeight="1" hidden="1">
      <c r="A59" s="45" t="s">
        <v>48</v>
      </c>
      <c r="B59" s="74">
        <f aca="true" t="shared" si="29" ref="B59:AT59">B60+B61</f>
        <v>3.3</v>
      </c>
      <c r="C59" s="74">
        <f t="shared" si="29"/>
        <v>41.4</v>
      </c>
      <c r="D59" s="74">
        <f t="shared" si="29"/>
        <v>73.6</v>
      </c>
      <c r="E59" s="72">
        <f t="shared" si="29"/>
        <v>226.6</v>
      </c>
      <c r="F59" s="72">
        <f t="shared" si="29"/>
        <v>672.4</v>
      </c>
      <c r="G59" s="72">
        <f t="shared" si="29"/>
        <v>2629.1</v>
      </c>
      <c r="H59" s="72">
        <f t="shared" si="29"/>
        <v>3472.3</v>
      </c>
      <c r="I59" s="72">
        <f t="shared" si="29"/>
        <v>6174.6</v>
      </c>
      <c r="J59" s="72">
        <f t="shared" si="29"/>
        <v>9238.6</v>
      </c>
      <c r="K59" s="72">
        <f t="shared" si="29"/>
        <v>10835.2</v>
      </c>
      <c r="L59" s="73">
        <f t="shared" si="29"/>
        <v>11948.925216</v>
      </c>
      <c r="M59" s="74">
        <f t="shared" si="29"/>
        <v>11658.64851</v>
      </c>
      <c r="N59" s="74">
        <f t="shared" si="29"/>
        <v>11612.776000000002</v>
      </c>
      <c r="O59" s="74">
        <f t="shared" si="29"/>
        <v>11504.005491</v>
      </c>
      <c r="P59" s="74">
        <f t="shared" si="29"/>
        <v>11466.9496</v>
      </c>
      <c r="Q59" s="74">
        <f t="shared" si="29"/>
        <v>11541.84824</v>
      </c>
      <c r="R59" s="74">
        <f t="shared" si="29"/>
        <v>11637.711319999999</v>
      </c>
      <c r="S59" s="74">
        <f t="shared" si="29"/>
        <v>11677.714100000001</v>
      </c>
      <c r="T59" s="74">
        <f t="shared" si="29"/>
        <v>11597.09276</v>
      </c>
      <c r="U59" s="74">
        <f t="shared" si="29"/>
        <v>11708.5</v>
      </c>
      <c r="V59" s="72">
        <f t="shared" si="29"/>
        <v>11922.022079999999</v>
      </c>
      <c r="W59" s="73">
        <f t="shared" si="29"/>
        <v>11923.50922</v>
      </c>
      <c r="X59" s="72">
        <f t="shared" si="29"/>
        <v>12879.349999999999</v>
      </c>
      <c r="Y59" s="72">
        <f t="shared" si="29"/>
        <v>12622</v>
      </c>
      <c r="Z59" s="72">
        <f t="shared" si="29"/>
        <v>12595.9</v>
      </c>
      <c r="AA59" s="72">
        <f t="shared" si="29"/>
        <v>12548</v>
      </c>
      <c r="AB59" s="72">
        <f t="shared" si="29"/>
        <v>12695.600000000002</v>
      </c>
      <c r="AC59" s="72">
        <f t="shared" si="29"/>
        <v>13013.7</v>
      </c>
      <c r="AD59" s="72">
        <f t="shared" si="29"/>
        <v>13070.900000000001</v>
      </c>
      <c r="AE59" s="72">
        <f t="shared" si="29"/>
        <v>13244.800000000001</v>
      </c>
      <c r="AF59" s="72">
        <f t="shared" si="29"/>
        <v>13199.4</v>
      </c>
      <c r="AG59" s="72">
        <f t="shared" si="29"/>
        <v>13493</v>
      </c>
      <c r="AH59" s="72">
        <f t="shared" si="29"/>
        <v>13557.60004</v>
      </c>
      <c r="AI59" s="72">
        <f t="shared" si="29"/>
        <v>13574</v>
      </c>
      <c r="AJ59" s="72">
        <f t="shared" si="29"/>
        <v>14000.7</v>
      </c>
      <c r="AK59" s="73">
        <f t="shared" si="29"/>
        <v>13816.300000000001</v>
      </c>
      <c r="AL59" s="73">
        <f t="shared" si="29"/>
        <v>13794.199999999999</v>
      </c>
      <c r="AM59" s="73">
        <f t="shared" si="29"/>
        <v>14185.9</v>
      </c>
      <c r="AN59" s="73">
        <f t="shared" si="29"/>
        <v>14201.800000000001</v>
      </c>
      <c r="AO59" s="72">
        <f t="shared" si="29"/>
        <v>14612.9</v>
      </c>
      <c r="AP59" s="74">
        <f t="shared" si="29"/>
        <v>14608.4</v>
      </c>
      <c r="AQ59" s="75">
        <f t="shared" si="29"/>
        <v>14723.800000000001</v>
      </c>
      <c r="AR59" s="73">
        <f t="shared" si="29"/>
        <v>14762.1</v>
      </c>
      <c r="AS59" s="72">
        <f t="shared" si="29"/>
        <v>14750.400000000001</v>
      </c>
      <c r="AT59" s="74">
        <f t="shared" si="29"/>
        <v>14754.300000000001</v>
      </c>
      <c r="AU59" s="75">
        <v>14791.1</v>
      </c>
      <c r="AV59" s="72">
        <f aca="true" t="shared" si="30" ref="AV59:BU59">AV60+AV61</f>
        <v>14971.1</v>
      </c>
      <c r="AW59" s="72">
        <f t="shared" si="30"/>
        <v>14832.900000000001</v>
      </c>
      <c r="AX59" s="72">
        <f t="shared" si="30"/>
        <v>14920.9</v>
      </c>
      <c r="AY59" s="72">
        <f t="shared" si="30"/>
        <v>14848.9</v>
      </c>
      <c r="AZ59" s="72">
        <f t="shared" si="30"/>
        <v>14852</v>
      </c>
      <c r="BA59" s="76">
        <f t="shared" si="30"/>
        <v>14718.3</v>
      </c>
      <c r="BB59" s="76">
        <f t="shared" si="30"/>
        <v>14691.2</v>
      </c>
      <c r="BC59" s="76">
        <f t="shared" si="30"/>
        <v>14691.8</v>
      </c>
      <c r="BD59" s="76">
        <f t="shared" si="30"/>
        <v>14693.9</v>
      </c>
      <c r="BE59" s="76">
        <f t="shared" si="30"/>
        <v>14709</v>
      </c>
      <c r="BF59" s="76">
        <f t="shared" si="30"/>
        <v>14655.2</v>
      </c>
      <c r="BG59" s="76">
        <f t="shared" si="30"/>
        <v>14644.400000000001</v>
      </c>
      <c r="BH59" s="76">
        <f t="shared" si="30"/>
        <v>14891.7</v>
      </c>
      <c r="BI59" s="76">
        <f t="shared" si="30"/>
        <v>14677.700000000003</v>
      </c>
      <c r="BJ59" s="76">
        <f t="shared" si="30"/>
        <v>14865.400000000001</v>
      </c>
      <c r="BK59" s="76">
        <f t="shared" si="30"/>
        <v>14758.300000000001</v>
      </c>
      <c r="BL59" s="76">
        <f t="shared" si="30"/>
        <v>14771.8</v>
      </c>
      <c r="BM59" s="76">
        <f t="shared" si="30"/>
        <v>16990.7</v>
      </c>
      <c r="BN59" s="76">
        <f t="shared" si="30"/>
        <v>14781.699999999999</v>
      </c>
      <c r="BO59" s="76">
        <f t="shared" si="30"/>
        <v>14722.5</v>
      </c>
      <c r="BP59" s="76">
        <f t="shared" si="30"/>
        <v>15195.9</v>
      </c>
      <c r="BQ59" s="76">
        <f t="shared" si="30"/>
        <v>15205.6</v>
      </c>
      <c r="BR59" s="76">
        <f t="shared" si="30"/>
        <v>15290.199999999999</v>
      </c>
      <c r="BS59" s="76">
        <f t="shared" si="30"/>
        <v>15468.9</v>
      </c>
      <c r="BT59" s="76">
        <f t="shared" si="30"/>
        <v>16690.7</v>
      </c>
      <c r="BU59" s="76">
        <f t="shared" si="30"/>
        <v>16226.9</v>
      </c>
      <c r="BV59" s="76">
        <f>BV60+BV61</f>
        <v>16100.9</v>
      </c>
      <c r="BW59" s="76">
        <f>BW60+BW61</f>
        <v>15960.9</v>
      </c>
      <c r="BX59" s="76">
        <f>BX60+BX61</f>
        <v>16110.599999999999</v>
      </c>
      <c r="BY59" s="76">
        <f>BY60+BY61</f>
        <v>16082.7</v>
      </c>
      <c r="BZ59" s="76">
        <f>BZ60+BZ61</f>
        <v>16080.7</v>
      </c>
    </row>
    <row r="60" spans="1:78" ht="16.5" customHeight="1" hidden="1">
      <c r="A60" s="90" t="s">
        <v>49</v>
      </c>
      <c r="B60" s="123">
        <v>3.3</v>
      </c>
      <c r="C60" s="124">
        <v>41.4</v>
      </c>
      <c r="D60" s="56">
        <v>63.5</v>
      </c>
      <c r="E60" s="58">
        <v>196.7</v>
      </c>
      <c r="F60" s="58">
        <f>341+267.6</f>
        <v>608.6</v>
      </c>
      <c r="G60" s="58">
        <v>665.8</v>
      </c>
      <c r="H60" s="58">
        <v>476.4</v>
      </c>
      <c r="I60" s="58">
        <v>1192.8</v>
      </c>
      <c r="J60" s="58">
        <v>1295.1</v>
      </c>
      <c r="K60" s="58">
        <v>3115.8</v>
      </c>
      <c r="L60" s="59">
        <v>2350.728</v>
      </c>
      <c r="M60" s="64">
        <v>7607.98371</v>
      </c>
      <c r="N60" s="64">
        <v>3270.9412</v>
      </c>
      <c r="O60" s="64">
        <v>3259.9031</v>
      </c>
      <c r="P60" s="64">
        <v>3250.628</v>
      </c>
      <c r="Q60" s="125">
        <v>3274.6865</v>
      </c>
      <c r="R60" s="62">
        <v>3283.3252</v>
      </c>
      <c r="S60" s="126">
        <v>3294.7245</v>
      </c>
      <c r="T60" s="64">
        <v>3294.9653</v>
      </c>
      <c r="U60" s="59">
        <v>3300.1</v>
      </c>
      <c r="V60" s="61">
        <v>3405.3635</v>
      </c>
      <c r="W60" s="64">
        <v>3405.08056</v>
      </c>
      <c r="X60" s="60">
        <v>550.05</v>
      </c>
      <c r="Y60" s="59">
        <f>Y50*0.0646</f>
        <v>815.3812</v>
      </c>
      <c r="Z60" s="65">
        <f>Z50*0.0646</f>
        <v>813.69514</v>
      </c>
      <c r="AA60" s="65">
        <f>AA50*0.0646</f>
        <v>810.6008</v>
      </c>
      <c r="AB60" s="65">
        <f>AB50*0.0646</f>
        <v>820.1357600000001</v>
      </c>
      <c r="AC60" s="65">
        <v>539.5</v>
      </c>
      <c r="AD60" s="65">
        <v>538.2</v>
      </c>
      <c r="AE60" s="65">
        <v>541.2</v>
      </c>
      <c r="AF60" s="65">
        <v>545.5</v>
      </c>
      <c r="AG60" s="65">
        <v>553.6</v>
      </c>
      <c r="AH60" s="65">
        <v>558.25382</v>
      </c>
      <c r="AI60" s="65">
        <v>560.7</v>
      </c>
      <c r="AJ60" s="60">
        <v>566.1</v>
      </c>
      <c r="AK60" s="59">
        <v>584.2</v>
      </c>
      <c r="AL60" s="59">
        <v>584.3</v>
      </c>
      <c r="AM60" s="59">
        <v>607.8</v>
      </c>
      <c r="AN60" s="59">
        <v>614.7</v>
      </c>
      <c r="AO60" s="60">
        <v>638.5</v>
      </c>
      <c r="AP60" s="64">
        <v>635.6</v>
      </c>
      <c r="AQ60" s="65">
        <v>634.6</v>
      </c>
      <c r="AR60" s="59">
        <v>634.7</v>
      </c>
      <c r="AS60" s="60">
        <v>633.2</v>
      </c>
      <c r="AT60" s="64">
        <v>633.2</v>
      </c>
      <c r="AU60" s="65">
        <v>634.8</v>
      </c>
      <c r="AV60" s="60">
        <v>505.6</v>
      </c>
      <c r="AW60" s="60">
        <v>678.2</v>
      </c>
      <c r="AX60" s="60">
        <v>680.4</v>
      </c>
      <c r="AY60" s="60">
        <v>679.3</v>
      </c>
      <c r="AZ60" s="60">
        <v>671.3</v>
      </c>
      <c r="BA60" s="70">
        <v>667.5</v>
      </c>
      <c r="BB60" s="70">
        <v>668.7</v>
      </c>
      <c r="BC60" s="70">
        <v>667.3</v>
      </c>
      <c r="BD60" s="70">
        <v>668.1</v>
      </c>
      <c r="BE60" s="70">
        <v>670.4</v>
      </c>
      <c r="BF60" s="70">
        <v>661.5</v>
      </c>
      <c r="BG60" s="70">
        <v>661.2</v>
      </c>
      <c r="BH60" s="70">
        <v>747.2</v>
      </c>
      <c r="BI60" s="70">
        <f>BI50*0.05</f>
        <v>733.8850000000001</v>
      </c>
      <c r="BJ60" s="70">
        <f>BJ50*0.05</f>
        <v>743.27</v>
      </c>
      <c r="BK60" s="70">
        <v>711.2</v>
      </c>
      <c r="BL60" s="70">
        <v>708.5</v>
      </c>
      <c r="BM60" s="70">
        <v>900.6</v>
      </c>
      <c r="BN60" s="70">
        <v>902.9</v>
      </c>
      <c r="BO60" s="70">
        <v>901</v>
      </c>
      <c r="BP60" s="70">
        <v>928.9</v>
      </c>
      <c r="BQ60" s="70">
        <v>928.5</v>
      </c>
      <c r="BR60" s="70">
        <v>929.8</v>
      </c>
      <c r="BS60" s="70">
        <v>938.6</v>
      </c>
      <c r="BT60" s="70">
        <v>1023.1</v>
      </c>
      <c r="BU60" s="70">
        <v>992.8</v>
      </c>
      <c r="BV60" s="70">
        <v>985.3</v>
      </c>
      <c r="BW60" s="70">
        <v>974.1</v>
      </c>
      <c r="BX60" s="70">
        <v>981.8</v>
      </c>
      <c r="BY60" s="70">
        <v>978.2</v>
      </c>
      <c r="BZ60" s="70">
        <v>976</v>
      </c>
    </row>
    <row r="61" spans="1:78" ht="16.5" customHeight="1" hidden="1" thickBot="1">
      <c r="A61" s="127" t="s">
        <v>50</v>
      </c>
      <c r="B61" s="128">
        <v>0</v>
      </c>
      <c r="C61" s="129">
        <v>0</v>
      </c>
      <c r="D61" s="130">
        <v>10.1</v>
      </c>
      <c r="E61" s="131">
        <v>29.9</v>
      </c>
      <c r="F61" s="131">
        <v>63.8</v>
      </c>
      <c r="G61" s="131">
        <v>1963.3</v>
      </c>
      <c r="H61" s="131">
        <v>2995.9</v>
      </c>
      <c r="I61" s="131">
        <v>4981.8</v>
      </c>
      <c r="J61" s="131">
        <v>7943.5</v>
      </c>
      <c r="K61" s="131">
        <v>7719.4</v>
      </c>
      <c r="L61" s="132">
        <v>9598.197216</v>
      </c>
      <c r="M61" s="133">
        <v>4050.6648</v>
      </c>
      <c r="N61" s="133">
        <v>8341.8348</v>
      </c>
      <c r="O61" s="133">
        <v>8244.102391</v>
      </c>
      <c r="P61" s="133">
        <v>8216.3216</v>
      </c>
      <c r="Q61" s="134">
        <v>8267.16174</v>
      </c>
      <c r="R61" s="135">
        <v>8354.38612</v>
      </c>
      <c r="S61" s="136">
        <v>8382.9896</v>
      </c>
      <c r="T61" s="133">
        <v>8302.12746</v>
      </c>
      <c r="U61" s="132">
        <v>8408.4</v>
      </c>
      <c r="V61" s="137">
        <v>8516.65858</v>
      </c>
      <c r="W61" s="133">
        <v>8518.42866</v>
      </c>
      <c r="X61" s="138">
        <v>12329.3</v>
      </c>
      <c r="Y61" s="132">
        <f>Y50-Y60</f>
        <v>11806.6188</v>
      </c>
      <c r="Z61" s="139">
        <f>Z50-Z60</f>
        <v>11782.20486</v>
      </c>
      <c r="AA61" s="139">
        <f>AA50-AA60</f>
        <v>11737.3992</v>
      </c>
      <c r="AB61" s="139">
        <f>AB50-AB60</f>
        <v>11875.464240000001</v>
      </c>
      <c r="AC61" s="139">
        <v>12474.2</v>
      </c>
      <c r="AD61" s="139">
        <v>12532.7</v>
      </c>
      <c r="AE61" s="139">
        <v>12703.6</v>
      </c>
      <c r="AF61" s="139">
        <v>12653.9</v>
      </c>
      <c r="AG61" s="139">
        <v>12939.4</v>
      </c>
      <c r="AH61" s="139">
        <v>12999.34622</v>
      </c>
      <c r="AI61" s="139">
        <v>13013.3</v>
      </c>
      <c r="AJ61" s="138">
        <v>13434.6</v>
      </c>
      <c r="AK61" s="132">
        <v>13232.1</v>
      </c>
      <c r="AL61" s="132">
        <v>13209.9</v>
      </c>
      <c r="AM61" s="132">
        <v>13578.1</v>
      </c>
      <c r="AN61" s="132">
        <v>13587.1</v>
      </c>
      <c r="AO61" s="138">
        <v>13974.4</v>
      </c>
      <c r="AP61" s="133">
        <v>13972.8</v>
      </c>
      <c r="AQ61" s="139">
        <v>14089.2</v>
      </c>
      <c r="AR61" s="132">
        <v>14127.4</v>
      </c>
      <c r="AS61" s="138">
        <v>14117.2</v>
      </c>
      <c r="AT61" s="133">
        <v>14121.1</v>
      </c>
      <c r="AU61" s="139">
        <v>14156.3</v>
      </c>
      <c r="AV61" s="138">
        <v>14465.5</v>
      </c>
      <c r="AW61" s="138">
        <v>14154.7</v>
      </c>
      <c r="AX61" s="138">
        <v>14240.5</v>
      </c>
      <c r="AY61" s="138">
        <v>14169.6</v>
      </c>
      <c r="AZ61" s="138">
        <v>14180.7</v>
      </c>
      <c r="BA61" s="140">
        <v>14050.8</v>
      </c>
      <c r="BB61" s="140">
        <v>14022.5</v>
      </c>
      <c r="BC61" s="140">
        <v>14024.5</v>
      </c>
      <c r="BD61" s="140">
        <v>14025.8</v>
      </c>
      <c r="BE61" s="140">
        <v>14038.6</v>
      </c>
      <c r="BF61" s="140">
        <v>13993.7</v>
      </c>
      <c r="BG61" s="140">
        <v>13983.2</v>
      </c>
      <c r="BH61" s="140">
        <v>14144.5</v>
      </c>
      <c r="BI61" s="140">
        <f>BI50*0.95</f>
        <v>13943.815000000002</v>
      </c>
      <c r="BJ61" s="140">
        <f>BJ50*0.95</f>
        <v>14122.130000000001</v>
      </c>
      <c r="BK61" s="140">
        <v>14047.1</v>
      </c>
      <c r="BL61" s="140">
        <v>14063.3</v>
      </c>
      <c r="BM61" s="140">
        <v>16090.1</v>
      </c>
      <c r="BN61" s="140">
        <v>13878.8</v>
      </c>
      <c r="BO61" s="140">
        <v>13821.5</v>
      </c>
      <c r="BP61" s="140">
        <v>14267</v>
      </c>
      <c r="BQ61" s="140">
        <v>14277.1</v>
      </c>
      <c r="BR61" s="140">
        <v>14360.4</v>
      </c>
      <c r="BS61" s="140">
        <v>14530.3</v>
      </c>
      <c r="BT61" s="140">
        <v>15667.6</v>
      </c>
      <c r="BU61" s="140">
        <v>15234.1</v>
      </c>
      <c r="BV61" s="140">
        <v>15115.6</v>
      </c>
      <c r="BW61" s="140">
        <v>14986.8</v>
      </c>
      <c r="BX61" s="140">
        <v>15128.8</v>
      </c>
      <c r="BY61" s="140">
        <v>15104.5</v>
      </c>
      <c r="BZ61" s="140">
        <v>15104.7</v>
      </c>
    </row>
    <row r="62" spans="1:78" ht="24" customHeight="1">
      <c r="A62" s="141" t="s">
        <v>51</v>
      </c>
      <c r="B62" s="142">
        <v>2.4118</v>
      </c>
      <c r="C62" s="142">
        <v>2.7881</v>
      </c>
      <c r="D62" s="142">
        <v>3.4919000000000002</v>
      </c>
      <c r="E62" s="142">
        <v>4.1117</v>
      </c>
      <c r="F62" s="142">
        <v>3.9663</v>
      </c>
      <c r="G62" s="142">
        <v>3.6771000000000003</v>
      </c>
      <c r="H62" s="143">
        <v>3.3817</v>
      </c>
      <c r="I62" s="143">
        <v>3.6102</v>
      </c>
      <c r="J62" s="144">
        <v>3.9859999999999998</v>
      </c>
      <c r="K62" s="144">
        <v>4.2296</v>
      </c>
      <c r="L62" s="145">
        <v>4.2848</v>
      </c>
      <c r="M62" s="145">
        <v>4.2549</v>
      </c>
      <c r="N62" s="145">
        <v>4.215</v>
      </c>
      <c r="O62" s="145">
        <v>4.1141</v>
      </c>
      <c r="P62" s="145">
        <v>4.0744</v>
      </c>
      <c r="Q62" s="145">
        <v>4.1208</v>
      </c>
      <c r="R62" s="145">
        <v>4.2341</v>
      </c>
      <c r="S62" s="145">
        <v>4.2403</v>
      </c>
      <c r="T62" s="145">
        <v>4.2228</v>
      </c>
      <c r="U62" s="145">
        <v>4.3533</v>
      </c>
      <c r="V62" s="145">
        <v>4.3243</v>
      </c>
      <c r="W62" s="145">
        <v>4.3539</v>
      </c>
      <c r="X62" s="145">
        <v>4.3197</v>
      </c>
      <c r="Y62" s="145">
        <v>4.3433</v>
      </c>
      <c r="Z62" s="145">
        <v>4.3486</v>
      </c>
      <c r="AA62" s="145">
        <v>4.3791</v>
      </c>
      <c r="AB62" s="145">
        <v>4.397</v>
      </c>
      <c r="AC62" s="145">
        <v>4.4652</v>
      </c>
      <c r="AD62" s="145">
        <v>4.4494</v>
      </c>
      <c r="AE62" s="145">
        <v>4.5694</v>
      </c>
      <c r="AF62" s="145">
        <v>4.4595</v>
      </c>
      <c r="AG62" s="145">
        <v>4.5331</v>
      </c>
      <c r="AH62" s="145">
        <v>4.5358</v>
      </c>
      <c r="AI62" s="145">
        <v>4.5059000000000005</v>
      </c>
      <c r="AJ62" s="145">
        <v>4.4287</v>
      </c>
      <c r="AK62" s="145">
        <v>4.3828</v>
      </c>
      <c r="AL62" s="145">
        <v>4.3698</v>
      </c>
      <c r="AM62" s="145">
        <v>4.4154</v>
      </c>
      <c r="AN62" s="145">
        <v>4.3237</v>
      </c>
      <c r="AO62" s="145">
        <v>4.3794</v>
      </c>
      <c r="AP62" s="145">
        <v>4.4588</v>
      </c>
      <c r="AQ62" s="145">
        <v>4.4048</v>
      </c>
      <c r="AR62" s="145">
        <v>4.4367</v>
      </c>
      <c r="AS62" s="145">
        <v>4.4604</v>
      </c>
      <c r="AT62" s="145">
        <v>4.4306</v>
      </c>
      <c r="AU62" s="145">
        <v>4.4412</v>
      </c>
      <c r="AV62" s="145">
        <v>4.4847</v>
      </c>
      <c r="AW62" s="145">
        <v>4.4978</v>
      </c>
      <c r="AX62" s="145">
        <v>4.4995</v>
      </c>
      <c r="AY62" s="145">
        <v>4.4553</v>
      </c>
      <c r="AZ62" s="145">
        <v>4.4503</v>
      </c>
      <c r="BA62" s="145">
        <v>4.3986</v>
      </c>
      <c r="BB62" s="145">
        <v>4.3870000000000005</v>
      </c>
      <c r="BC62" s="145">
        <v>4.4188</v>
      </c>
      <c r="BD62" s="145">
        <v>4.4126</v>
      </c>
      <c r="BE62" s="145">
        <v>4.4114</v>
      </c>
      <c r="BF62" s="145">
        <v>4.4139</v>
      </c>
      <c r="BG62" s="145">
        <v>4.4247</v>
      </c>
      <c r="BH62" s="145">
        <v>4.4821</v>
      </c>
      <c r="BI62" s="145">
        <v>4.4424</v>
      </c>
      <c r="BJ62" s="145">
        <v>4.4381</v>
      </c>
      <c r="BK62" s="145">
        <v>4.4098</v>
      </c>
      <c r="BL62" s="145">
        <v>4.4198</v>
      </c>
      <c r="BM62" s="145">
        <v>4.4395</v>
      </c>
      <c r="BN62" s="145">
        <v>4.4735</v>
      </c>
      <c r="BO62" s="145">
        <v>4.407</v>
      </c>
      <c r="BP62" s="145">
        <v>4.4321</v>
      </c>
      <c r="BQ62" s="145">
        <v>4.4167</v>
      </c>
      <c r="BR62" s="145">
        <v>4.4322</v>
      </c>
      <c r="BS62" s="145">
        <v>4.446</v>
      </c>
      <c r="BT62" s="145">
        <v>4.5245</v>
      </c>
      <c r="BU62" s="145">
        <v>4.5337</v>
      </c>
      <c r="BV62" s="145">
        <v>4.4692</v>
      </c>
      <c r="BW62" s="145">
        <v>4.4738</v>
      </c>
      <c r="BX62" s="145">
        <v>4.4774</v>
      </c>
      <c r="BY62" s="145">
        <v>4.5115</v>
      </c>
      <c r="BZ62" s="145">
        <v>4.521</v>
      </c>
    </row>
    <row r="63" spans="1:78" ht="20.25" customHeight="1" thickBot="1">
      <c r="A63" s="141" t="s">
        <v>52</v>
      </c>
      <c r="B63" s="146">
        <v>80984.6</v>
      </c>
      <c r="C63" s="146">
        <v>117945.6</v>
      </c>
      <c r="D63" s="146">
        <v>152017</v>
      </c>
      <c r="E63" s="146">
        <v>197427.6</v>
      </c>
      <c r="F63" s="146">
        <v>247368</v>
      </c>
      <c r="G63" s="146">
        <v>288954.6</v>
      </c>
      <c r="H63" s="147">
        <v>344650.6</v>
      </c>
      <c r="I63" s="147">
        <v>416006.8</v>
      </c>
      <c r="J63" s="147">
        <v>524388.7</v>
      </c>
      <c r="K63" s="147">
        <v>510522.8</v>
      </c>
      <c r="L63" s="148">
        <v>533881</v>
      </c>
      <c r="M63" s="149">
        <v>563100</v>
      </c>
      <c r="N63" s="149">
        <v>563100</v>
      </c>
      <c r="O63" s="149">
        <v>563100</v>
      </c>
      <c r="P63" s="149">
        <v>563100</v>
      </c>
      <c r="Q63" s="149">
        <v>563100</v>
      </c>
      <c r="R63" s="149">
        <v>563100</v>
      </c>
      <c r="S63" s="149">
        <v>563100</v>
      </c>
      <c r="T63" s="149">
        <v>563100</v>
      </c>
      <c r="U63" s="149">
        <v>563100</v>
      </c>
      <c r="V63" s="149">
        <v>563100</v>
      </c>
      <c r="W63" s="149">
        <v>563100</v>
      </c>
      <c r="X63" s="149">
        <v>565097</v>
      </c>
      <c r="Y63" s="149">
        <v>585200</v>
      </c>
      <c r="Z63" s="149">
        <v>585200</v>
      </c>
      <c r="AA63" s="149">
        <v>585200</v>
      </c>
      <c r="AB63" s="149">
        <v>585200</v>
      </c>
      <c r="AC63" s="149">
        <v>585200</v>
      </c>
      <c r="AD63" s="149">
        <v>585200</v>
      </c>
      <c r="AE63" s="149">
        <v>585200</v>
      </c>
      <c r="AF63" s="149">
        <v>585200</v>
      </c>
      <c r="AG63" s="149">
        <v>585200</v>
      </c>
      <c r="AH63" s="149">
        <v>585200</v>
      </c>
      <c r="AI63" s="149">
        <v>585200</v>
      </c>
      <c r="AJ63" s="149">
        <v>595367</v>
      </c>
      <c r="AK63" s="149">
        <v>623300</v>
      </c>
      <c r="AL63" s="149">
        <v>623300</v>
      </c>
      <c r="AM63" s="149">
        <v>623300</v>
      </c>
      <c r="AN63" s="149">
        <v>623300</v>
      </c>
      <c r="AO63" s="149">
        <v>623300</v>
      </c>
      <c r="AP63" s="149">
        <v>626200</v>
      </c>
      <c r="AQ63" s="149">
        <v>626200</v>
      </c>
      <c r="AR63" s="149">
        <v>626200</v>
      </c>
      <c r="AS63" s="149">
        <v>625600</v>
      </c>
      <c r="AT63" s="149">
        <v>625600</v>
      </c>
      <c r="AU63" s="149">
        <v>625600</v>
      </c>
      <c r="AV63" s="149">
        <v>637456</v>
      </c>
      <c r="AW63" s="149">
        <v>669509.2</v>
      </c>
      <c r="AX63" s="149">
        <v>669509.2</v>
      </c>
      <c r="AY63" s="149">
        <v>669509.2</v>
      </c>
      <c r="AZ63" s="149">
        <v>669509.2</v>
      </c>
      <c r="BA63" s="149">
        <v>669509.2</v>
      </c>
      <c r="BB63" s="149">
        <v>669509.2</v>
      </c>
      <c r="BC63" s="149">
        <v>669509.2</v>
      </c>
      <c r="BD63" s="149">
        <v>669509.2</v>
      </c>
      <c r="BE63" s="149">
        <v>669509.2</v>
      </c>
      <c r="BF63" s="149">
        <v>669509.2</v>
      </c>
      <c r="BG63" s="149">
        <v>669509.2</v>
      </c>
      <c r="BH63" s="149">
        <v>667577</v>
      </c>
      <c r="BI63" s="149">
        <v>710266.6</v>
      </c>
      <c r="BJ63" s="149">
        <v>710266.6</v>
      </c>
      <c r="BK63" s="149">
        <v>710266.6</v>
      </c>
      <c r="BL63" s="149">
        <v>710266.6</v>
      </c>
      <c r="BM63" s="149">
        <v>710266.6</v>
      </c>
      <c r="BN63" s="149">
        <v>710266.6</v>
      </c>
      <c r="BO63" s="149">
        <v>710266.6</v>
      </c>
      <c r="BP63" s="149">
        <v>710266.6</v>
      </c>
      <c r="BQ63" s="149">
        <v>710266.6</v>
      </c>
      <c r="BR63" s="149">
        <v>710266.6</v>
      </c>
      <c r="BS63" s="149">
        <v>710266.6</v>
      </c>
      <c r="BT63" s="149">
        <v>712800</v>
      </c>
      <c r="BU63" s="149">
        <v>757000</v>
      </c>
      <c r="BV63" s="149">
        <v>757000</v>
      </c>
      <c r="BW63" s="149">
        <v>757000</v>
      </c>
      <c r="BX63" s="149">
        <v>757000</v>
      </c>
      <c r="BY63" s="149">
        <v>757000</v>
      </c>
      <c r="BZ63" s="149">
        <v>757000</v>
      </c>
    </row>
    <row r="64" spans="1:72" ht="16.5" customHeight="1">
      <c r="A64" s="150" t="s">
        <v>53</v>
      </c>
      <c r="B64" s="4"/>
      <c r="C64" s="4"/>
      <c r="D64" s="4"/>
      <c r="E64" s="4"/>
      <c r="F64" s="4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  <c r="BI64" s="151"/>
      <c r="BJ64" s="151"/>
      <c r="BK64" s="151"/>
      <c r="BL64" s="151"/>
      <c r="BM64" s="151"/>
      <c r="BN64" s="151"/>
      <c r="BO64" s="151"/>
      <c r="BP64" s="151"/>
      <c r="BQ64" s="151"/>
      <c r="BR64" s="151"/>
      <c r="BS64" s="151"/>
      <c r="BT64" s="34"/>
    </row>
    <row r="65" spans="1:78" ht="16.5" customHeight="1">
      <c r="A65" s="150" t="s">
        <v>55</v>
      </c>
      <c r="I65" s="1"/>
      <c r="K65" s="1"/>
      <c r="Q65" s="1"/>
      <c r="V65" s="1"/>
      <c r="AV65" s="1"/>
      <c r="BT65" s="1"/>
      <c r="BU65" s="154"/>
      <c r="BV65" s="154"/>
      <c r="BW65" s="154"/>
      <c r="BX65" s="154"/>
      <c r="BY65" s="154"/>
      <c r="BZ65" s="154"/>
    </row>
    <row r="66" spans="1:72" ht="16.5" customHeight="1">
      <c r="A66" s="150"/>
      <c r="I66" s="1"/>
      <c r="K66" s="1"/>
      <c r="Q66" s="1"/>
      <c r="V66" s="1"/>
      <c r="AV66" s="1"/>
      <c r="BT66" s="1"/>
    </row>
    <row r="67" ht="15" customHeight="1"/>
    <row r="70" ht="16.5" customHeight="1">
      <c r="I70" s="165"/>
    </row>
    <row r="71" ht="16.5" customHeight="1">
      <c r="I71" s="161"/>
    </row>
  </sheetData>
  <sheetProtection selectLockedCells="1" selectUnlockedCells="1"/>
  <printOptions/>
  <pageMargins left="0.6299212598425197" right="0" top="0.2755905511811024" bottom="0" header="0.2362204724409449" footer="0.5118110236220472"/>
  <pageSetup horizontalDpi="600" verticalDpi="600" orientation="landscape" paperSize="9" scale="43" r:id="rId1"/>
  <headerFooter alignWithMargins="0">
    <oddHeader>&amp;CDatoria publica*)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T72"/>
  <sheetViews>
    <sheetView view="pageBreakPreview" zoomScaleNormal="75" zoomScaleSheetLayoutView="100" zoomScalePageLayoutView="0" workbookViewId="0" topLeftCell="A17">
      <pane xSplit="1" topLeftCell="B1" activePane="topRight" state="frozen"/>
      <selection pane="topLeft" activeCell="A1" sqref="A1"/>
      <selection pane="topRight" activeCell="A66" sqref="A66:E66"/>
    </sheetView>
  </sheetViews>
  <sheetFormatPr defaultColWidth="9.6640625" defaultRowHeight="16.5" customHeight="1"/>
  <cols>
    <col min="1" max="1" width="39.10546875" style="1" customWidth="1"/>
    <col min="2" max="2" width="8.6640625" style="1" hidden="1" customWidth="1"/>
    <col min="3" max="3" width="8.4453125" style="1" hidden="1" customWidth="1"/>
    <col min="4" max="4" width="8.21484375" style="1" hidden="1" customWidth="1"/>
    <col min="5" max="5" width="8.6640625" style="1" hidden="1" customWidth="1"/>
    <col min="6" max="6" width="8.99609375" style="1" hidden="1" customWidth="1"/>
    <col min="7" max="7" width="8.5546875" style="1" hidden="1" customWidth="1"/>
    <col min="8" max="8" width="8.6640625" style="1" hidden="1" customWidth="1"/>
    <col min="9" max="9" width="1.2265625" style="163" hidden="1" customWidth="1"/>
    <col min="10" max="10" width="10.10546875" style="1" customWidth="1"/>
    <col min="11" max="11" width="10.3359375" style="163" customWidth="1"/>
    <col min="12" max="12" width="9.33593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9.2148437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21484375" style="1" customWidth="1"/>
    <col min="61" max="71" width="11.77734375" style="1" hidden="1" customWidth="1"/>
    <col min="72" max="72" width="10.10546875" style="163" bestFit="1" customWidth="1"/>
    <col min="73" max="73" width="11.21484375" style="153" hidden="1" customWidth="1"/>
    <col min="74" max="82" width="11.77734375" style="153" hidden="1" customWidth="1"/>
    <col min="83" max="83" width="10.21484375" style="153" hidden="1" customWidth="1"/>
    <col min="84" max="84" width="10.4453125" style="153" customWidth="1"/>
    <col min="85" max="85" width="9.99609375" style="1" hidden="1" customWidth="1"/>
    <col min="86" max="86" width="9.99609375" style="153" hidden="1" customWidth="1"/>
    <col min="87" max="90" width="10.3359375" style="153" hidden="1" customWidth="1"/>
    <col min="91" max="91" width="0" style="1" hidden="1" customWidth="1"/>
    <col min="92" max="93" width="10.77734375" style="1" hidden="1" customWidth="1"/>
    <col min="94" max="94" width="10.10546875" style="1" hidden="1" customWidth="1"/>
    <col min="95" max="95" width="10.10546875" style="153" hidden="1" customWidth="1"/>
    <col min="96" max="96" width="10.10546875" style="1" bestFit="1" customWidth="1"/>
    <col min="97" max="16384" width="9.6640625" style="1" customWidth="1"/>
  </cols>
  <sheetData>
    <row r="1" spans="1:96" ht="16.5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96">
        <f>(BT15+BT17+BT18)/BT63</f>
        <v>42656.49243010277</v>
      </c>
      <c r="BU1" s="196">
        <f aca="true" t="shared" si="0" ref="BU1:CQ1">(BU15+BU17+BU18)/BU63</f>
        <v>42111.32187837748</v>
      </c>
      <c r="BV1" s="196">
        <f t="shared" si="0"/>
        <v>43474.62633133447</v>
      </c>
      <c r="BW1" s="196">
        <f t="shared" si="0"/>
        <v>43847.33336313649</v>
      </c>
      <c r="BX1" s="196">
        <f t="shared" si="0"/>
        <v>44685.73279135212</v>
      </c>
      <c r="BY1" s="196">
        <f t="shared" si="0"/>
        <v>44617.298016180874</v>
      </c>
      <c r="BZ1" s="196">
        <f t="shared" si="0"/>
        <v>43804.02565804026</v>
      </c>
      <c r="CA1" s="196">
        <f t="shared" si="0"/>
        <v>44633.82899628253</v>
      </c>
      <c r="CB1" s="196">
        <f t="shared" si="0"/>
        <v>44128.99180364581</v>
      </c>
      <c r="CC1" s="196">
        <f t="shared" si="0"/>
        <v>44830.53702580689</v>
      </c>
      <c r="CD1" s="196">
        <f t="shared" si="0"/>
        <v>46288.83414341833</v>
      </c>
      <c r="CE1" s="196">
        <f t="shared" si="0"/>
        <v>46722.0187762168</v>
      </c>
      <c r="CF1" s="196">
        <f t="shared" si="0"/>
        <v>46772.103675320956</v>
      </c>
      <c r="CG1" s="196">
        <f t="shared" si="0"/>
        <v>47366.93458856965</v>
      </c>
      <c r="CH1" s="196">
        <f t="shared" si="0"/>
        <v>47841.34189548273</v>
      </c>
      <c r="CI1" s="196">
        <f t="shared" si="0"/>
        <v>48169.32170244556</v>
      </c>
      <c r="CJ1" s="196">
        <f t="shared" si="0"/>
        <v>48891.84479297642</v>
      </c>
      <c r="CK1" s="196">
        <f t="shared" si="0"/>
        <v>50701.172815194084</v>
      </c>
      <c r="CL1" s="196">
        <f t="shared" si="0"/>
        <v>50142.49324754607</v>
      </c>
      <c r="CM1" s="196">
        <f t="shared" si="0"/>
        <v>49426.18097284969</v>
      </c>
      <c r="CN1" s="196">
        <f t="shared" si="0"/>
        <v>49513.28802335207</v>
      </c>
      <c r="CO1" s="196">
        <f t="shared" si="0"/>
        <v>49944.96749364006</v>
      </c>
      <c r="CP1" s="196">
        <f>(CP15+CP17+CP18)/CP63</f>
        <v>50844.53626182451</v>
      </c>
      <c r="CQ1" s="196">
        <f t="shared" si="0"/>
        <v>50587.0277023825</v>
      </c>
      <c r="CR1" s="1" t="s">
        <v>54</v>
      </c>
    </row>
    <row r="2" spans="1:96" ht="36.75" customHeight="1" thickBot="1">
      <c r="A2" s="182" t="s">
        <v>0</v>
      </c>
      <c r="B2" s="179">
        <v>2000</v>
      </c>
      <c r="C2" s="171">
        <v>2001</v>
      </c>
      <c r="D2" s="171">
        <v>2002</v>
      </c>
      <c r="E2" s="171">
        <v>2003</v>
      </c>
      <c r="F2" s="171">
        <v>2004</v>
      </c>
      <c r="G2" s="171">
        <v>2005</v>
      </c>
      <c r="H2" s="171">
        <v>2006</v>
      </c>
      <c r="I2" s="171">
        <v>2007</v>
      </c>
      <c r="J2" s="171">
        <v>2008</v>
      </c>
      <c r="K2" s="171">
        <v>2009</v>
      </c>
      <c r="L2" s="172">
        <v>2010</v>
      </c>
      <c r="M2" s="173">
        <v>40574</v>
      </c>
      <c r="N2" s="173">
        <v>40602</v>
      </c>
      <c r="O2" s="173">
        <v>40633</v>
      </c>
      <c r="P2" s="173">
        <v>40663</v>
      </c>
      <c r="Q2" s="173">
        <v>40694</v>
      </c>
      <c r="R2" s="173">
        <v>40724</v>
      </c>
      <c r="S2" s="173">
        <v>40755</v>
      </c>
      <c r="T2" s="173">
        <v>40786</v>
      </c>
      <c r="U2" s="173">
        <v>40816</v>
      </c>
      <c r="V2" s="173">
        <v>40847</v>
      </c>
      <c r="W2" s="173">
        <v>40877</v>
      </c>
      <c r="X2" s="172">
        <v>2011</v>
      </c>
      <c r="Y2" s="173">
        <v>40939</v>
      </c>
      <c r="Z2" s="173">
        <v>40968</v>
      </c>
      <c r="AA2" s="173">
        <v>40999</v>
      </c>
      <c r="AB2" s="173">
        <v>41029</v>
      </c>
      <c r="AC2" s="173">
        <v>41060</v>
      </c>
      <c r="AD2" s="173">
        <v>41090</v>
      </c>
      <c r="AE2" s="173">
        <v>41121</v>
      </c>
      <c r="AF2" s="173">
        <v>41152</v>
      </c>
      <c r="AG2" s="173">
        <v>41182</v>
      </c>
      <c r="AH2" s="173">
        <v>41213</v>
      </c>
      <c r="AI2" s="173">
        <v>41243</v>
      </c>
      <c r="AJ2" s="172">
        <v>2012</v>
      </c>
      <c r="AK2" s="173">
        <v>41305</v>
      </c>
      <c r="AL2" s="173">
        <v>41333</v>
      </c>
      <c r="AM2" s="173">
        <v>41364</v>
      </c>
      <c r="AN2" s="173">
        <v>41394</v>
      </c>
      <c r="AO2" s="173">
        <v>41425</v>
      </c>
      <c r="AP2" s="173">
        <v>41455</v>
      </c>
      <c r="AQ2" s="173">
        <v>41486</v>
      </c>
      <c r="AR2" s="173">
        <v>41517</v>
      </c>
      <c r="AS2" s="173">
        <v>41547</v>
      </c>
      <c r="AT2" s="173">
        <v>41578</v>
      </c>
      <c r="AU2" s="173">
        <v>41608</v>
      </c>
      <c r="AV2" s="172">
        <v>2013</v>
      </c>
      <c r="AW2" s="173">
        <v>41670</v>
      </c>
      <c r="AX2" s="173">
        <v>41698</v>
      </c>
      <c r="AY2" s="173">
        <v>41729</v>
      </c>
      <c r="AZ2" s="173">
        <v>41759</v>
      </c>
      <c r="BA2" s="173">
        <v>41790</v>
      </c>
      <c r="BB2" s="173">
        <v>41820</v>
      </c>
      <c r="BC2" s="174">
        <v>41851</v>
      </c>
      <c r="BD2" s="174">
        <v>41882</v>
      </c>
      <c r="BE2" s="174">
        <v>41912</v>
      </c>
      <c r="BF2" s="174">
        <v>41943</v>
      </c>
      <c r="BG2" s="174">
        <v>41973</v>
      </c>
      <c r="BH2" s="172">
        <v>2014</v>
      </c>
      <c r="BI2" s="174">
        <v>42035</v>
      </c>
      <c r="BJ2" s="174">
        <v>42063</v>
      </c>
      <c r="BK2" s="174">
        <v>42094</v>
      </c>
      <c r="BL2" s="174">
        <v>42124</v>
      </c>
      <c r="BM2" s="174">
        <v>42155</v>
      </c>
      <c r="BN2" s="174">
        <v>42185</v>
      </c>
      <c r="BO2" s="174">
        <v>42216</v>
      </c>
      <c r="BP2" s="174">
        <v>42247</v>
      </c>
      <c r="BQ2" s="174">
        <v>42277</v>
      </c>
      <c r="BR2" s="174">
        <v>42308</v>
      </c>
      <c r="BS2" s="174">
        <v>42338</v>
      </c>
      <c r="BT2" s="172">
        <v>2015</v>
      </c>
      <c r="BU2" s="174">
        <v>42400</v>
      </c>
      <c r="BV2" s="174">
        <v>42429</v>
      </c>
      <c r="BW2" s="174">
        <v>42460</v>
      </c>
      <c r="BX2" s="174">
        <v>42490</v>
      </c>
      <c r="BY2" s="174">
        <v>42521</v>
      </c>
      <c r="BZ2" s="174">
        <v>42551</v>
      </c>
      <c r="CA2" s="174">
        <v>42582</v>
      </c>
      <c r="CB2" s="174">
        <v>42613</v>
      </c>
      <c r="CC2" s="174">
        <v>42643</v>
      </c>
      <c r="CD2" s="174">
        <v>42674</v>
      </c>
      <c r="CE2" s="174">
        <v>42704</v>
      </c>
      <c r="CF2" s="172">
        <v>2016</v>
      </c>
      <c r="CG2" s="174">
        <v>42766</v>
      </c>
      <c r="CH2" s="174">
        <v>42794</v>
      </c>
      <c r="CI2" s="174">
        <v>42825</v>
      </c>
      <c r="CJ2" s="174">
        <v>42855</v>
      </c>
      <c r="CK2" s="174">
        <v>42886</v>
      </c>
      <c r="CL2" s="175">
        <v>42916</v>
      </c>
      <c r="CM2" s="175">
        <v>42947</v>
      </c>
      <c r="CN2" s="175">
        <v>42978</v>
      </c>
      <c r="CO2" s="175">
        <v>43008</v>
      </c>
      <c r="CP2" s="175">
        <v>43039</v>
      </c>
      <c r="CQ2" s="175">
        <v>43069</v>
      </c>
      <c r="CR2" s="175">
        <v>43100</v>
      </c>
    </row>
    <row r="3" spans="1:96" s="2" customFormat="1" ht="27.75" customHeight="1" thickBot="1">
      <c r="A3" s="199" t="s">
        <v>59</v>
      </c>
      <c r="B3" s="200">
        <f aca="true" t="shared" si="1" ref="B3:AM3">B5+B48</f>
        <v>25288.80802</v>
      </c>
      <c r="C3" s="201">
        <f t="shared" si="1"/>
        <v>33817.842</v>
      </c>
      <c r="D3" s="201">
        <f t="shared" si="1"/>
        <v>43867.39546</v>
      </c>
      <c r="E3" s="201">
        <f t="shared" si="1"/>
        <v>51363.20874999999</v>
      </c>
      <c r="F3" s="201">
        <f t="shared" si="1"/>
        <v>55819.68415</v>
      </c>
      <c r="G3" s="201">
        <f t="shared" si="1"/>
        <v>59010.94912</v>
      </c>
      <c r="H3" s="201">
        <f t="shared" si="1"/>
        <v>63340.806710000004</v>
      </c>
      <c r="I3" s="201">
        <f t="shared" si="1"/>
        <v>82324.33</v>
      </c>
      <c r="J3" s="201">
        <f t="shared" si="1"/>
        <v>109795.09999999999</v>
      </c>
      <c r="K3" s="201">
        <f t="shared" si="1"/>
        <v>147329</v>
      </c>
      <c r="L3" s="201">
        <f t="shared" si="1"/>
        <v>194459.225216</v>
      </c>
      <c r="M3" s="201">
        <f t="shared" si="1"/>
        <v>190381.64851</v>
      </c>
      <c r="N3" s="201">
        <f t="shared" si="1"/>
        <v>193107.39250000002</v>
      </c>
      <c r="O3" s="201">
        <f t="shared" si="1"/>
        <v>198980.506151</v>
      </c>
      <c r="P3" s="201">
        <f t="shared" si="1"/>
        <v>195474.53456</v>
      </c>
      <c r="Q3" s="201">
        <f t="shared" si="1"/>
        <v>200663.32431999999</v>
      </c>
      <c r="R3" s="201">
        <f t="shared" si="1"/>
        <v>214025.75594</v>
      </c>
      <c r="S3" s="201">
        <f t="shared" si="1"/>
        <v>204632.34567</v>
      </c>
      <c r="T3" s="201">
        <f t="shared" si="1"/>
        <v>207572.22164</v>
      </c>
      <c r="U3" s="201">
        <f t="shared" si="1"/>
        <v>212342.97689</v>
      </c>
      <c r="V3" s="201">
        <f t="shared" si="1"/>
        <v>211502.83140999998</v>
      </c>
      <c r="W3" s="201">
        <f t="shared" si="1"/>
        <v>214379.13931</v>
      </c>
      <c r="X3" s="201">
        <f t="shared" si="1"/>
        <v>223268</v>
      </c>
      <c r="Y3" s="201">
        <f t="shared" si="1"/>
        <v>220133.9</v>
      </c>
      <c r="Z3" s="201">
        <f t="shared" si="1"/>
        <v>230376.4</v>
      </c>
      <c r="AA3" s="201">
        <f t="shared" si="1"/>
        <v>235172.1</v>
      </c>
      <c r="AB3" s="201">
        <f t="shared" si="1"/>
        <v>236648.30000000002</v>
      </c>
      <c r="AC3" s="201">
        <f t="shared" si="1"/>
        <v>237762.90000000002</v>
      </c>
      <c r="AD3" s="201">
        <f t="shared" si="1"/>
        <v>232171.8</v>
      </c>
      <c r="AE3" s="201">
        <f t="shared" si="1"/>
        <v>236699.4</v>
      </c>
      <c r="AF3" s="201">
        <f t="shared" si="1"/>
        <v>231663.8</v>
      </c>
      <c r="AG3" s="201">
        <f t="shared" si="1"/>
        <v>236297.5</v>
      </c>
      <c r="AH3" s="201">
        <f t="shared" si="1"/>
        <v>238893.20004</v>
      </c>
      <c r="AI3" s="201">
        <f t="shared" si="1"/>
        <v>240876</v>
      </c>
      <c r="AJ3" s="201">
        <f t="shared" si="1"/>
        <v>240842.6</v>
      </c>
      <c r="AK3" s="201">
        <f t="shared" si="1"/>
        <v>240638.59999999998</v>
      </c>
      <c r="AL3" s="201">
        <f t="shared" si="1"/>
        <v>249736.2</v>
      </c>
      <c r="AM3" s="201">
        <f t="shared" si="1"/>
        <v>252638.56999999998</v>
      </c>
      <c r="AN3" s="201">
        <v>253188.3</v>
      </c>
      <c r="AO3" s="201">
        <f aca="true" t="shared" si="2" ref="AO3:AT3">AO5+AO48</f>
        <v>250128.99999999997</v>
      </c>
      <c r="AP3" s="201">
        <f t="shared" si="2"/>
        <v>254325.2</v>
      </c>
      <c r="AQ3" s="201">
        <f t="shared" si="2"/>
        <v>252605.49999999997</v>
      </c>
      <c r="AR3" s="201">
        <f t="shared" si="2"/>
        <v>253657.6</v>
      </c>
      <c r="AS3" s="201">
        <f t="shared" si="2"/>
        <v>261296.3</v>
      </c>
      <c r="AT3" s="201">
        <f t="shared" si="2"/>
        <v>266213.60000000003</v>
      </c>
      <c r="AU3" s="201">
        <v>261530.3</v>
      </c>
      <c r="AV3" s="201">
        <f aca="true" t="shared" si="3" ref="AV3:CR3">AV5+AV48</f>
        <v>267150.89999999997</v>
      </c>
      <c r="AW3" s="201">
        <f t="shared" si="3"/>
        <v>270820</v>
      </c>
      <c r="AX3" s="201">
        <f t="shared" si="3"/>
        <v>274378.60000000003</v>
      </c>
      <c r="AY3" s="201">
        <f t="shared" si="3"/>
        <v>269394.8</v>
      </c>
      <c r="AZ3" s="201">
        <f t="shared" si="3"/>
        <v>276394.2</v>
      </c>
      <c r="BA3" s="201">
        <f t="shared" si="3"/>
        <v>270298.5</v>
      </c>
      <c r="BB3" s="201">
        <f t="shared" si="3"/>
        <v>271751.9</v>
      </c>
      <c r="BC3" s="201">
        <f t="shared" si="3"/>
        <v>269774.66</v>
      </c>
      <c r="BD3" s="201">
        <f t="shared" si="3"/>
        <v>270137.5</v>
      </c>
      <c r="BE3" s="201">
        <f t="shared" si="3"/>
        <v>268668.2</v>
      </c>
      <c r="BF3" s="201">
        <f t="shared" si="3"/>
        <v>276373.8</v>
      </c>
      <c r="BG3" s="201">
        <f t="shared" si="3"/>
        <v>280298.00000000006</v>
      </c>
      <c r="BH3" s="201">
        <f t="shared" si="3"/>
        <v>295655.5</v>
      </c>
      <c r="BI3" s="201">
        <f t="shared" si="3"/>
        <v>282917.4</v>
      </c>
      <c r="BJ3" s="201">
        <f t="shared" si="3"/>
        <v>287269.7</v>
      </c>
      <c r="BK3" s="201">
        <f t="shared" si="3"/>
        <v>283693.44</v>
      </c>
      <c r="BL3" s="201">
        <f t="shared" si="3"/>
        <v>280022.7</v>
      </c>
      <c r="BM3" s="201">
        <f t="shared" si="3"/>
        <v>283219.8</v>
      </c>
      <c r="BN3" s="201">
        <f t="shared" si="3"/>
        <v>288616.4</v>
      </c>
      <c r="BO3" s="201">
        <f t="shared" si="3"/>
        <v>283363.3</v>
      </c>
      <c r="BP3" s="201">
        <f t="shared" si="3"/>
        <v>285535.80000000005</v>
      </c>
      <c r="BQ3" s="201">
        <f t="shared" si="3"/>
        <v>287337</v>
      </c>
      <c r="BR3" s="201">
        <f t="shared" si="3"/>
        <v>292368</v>
      </c>
      <c r="BS3" s="201">
        <f t="shared" si="3"/>
        <v>297309.9</v>
      </c>
      <c r="BT3" s="201">
        <f t="shared" si="3"/>
        <v>315933.69999999995</v>
      </c>
      <c r="BU3" s="201">
        <f t="shared" si="3"/>
        <v>306473</v>
      </c>
      <c r="BV3" s="201">
        <f t="shared" si="3"/>
        <v>310698.47000000003</v>
      </c>
      <c r="BW3" s="201">
        <f t="shared" si="3"/>
        <v>309543.3</v>
      </c>
      <c r="BX3" s="201">
        <f t="shared" si="3"/>
        <v>314036.8</v>
      </c>
      <c r="BY3" s="201">
        <f t="shared" si="3"/>
        <v>322358.2</v>
      </c>
      <c r="BZ3" s="201">
        <f t="shared" si="3"/>
        <v>318471.8</v>
      </c>
      <c r="CA3" s="201">
        <f t="shared" si="3"/>
        <v>316968.4</v>
      </c>
      <c r="CB3" s="201">
        <f t="shared" si="3"/>
        <v>312264.1</v>
      </c>
      <c r="CC3" s="201">
        <f t="shared" si="3"/>
        <v>313946.7</v>
      </c>
      <c r="CD3" s="201">
        <f t="shared" si="3"/>
        <v>319528.8</v>
      </c>
      <c r="CE3" s="201">
        <f t="shared" si="3"/>
        <v>325288.2</v>
      </c>
      <c r="CF3" s="201">
        <f t="shared" si="3"/>
        <v>339523</v>
      </c>
      <c r="CG3" s="201">
        <f t="shared" si="3"/>
        <v>333425.80000000005</v>
      </c>
      <c r="CH3" s="201">
        <f t="shared" si="3"/>
        <v>337815.47000000003</v>
      </c>
      <c r="CI3" s="201">
        <f t="shared" si="3"/>
        <v>342571.3</v>
      </c>
      <c r="CJ3" s="201">
        <f t="shared" si="3"/>
        <v>341772.7</v>
      </c>
      <c r="CK3" s="201">
        <f t="shared" si="3"/>
        <v>352485.2</v>
      </c>
      <c r="CL3" s="202">
        <f t="shared" si="3"/>
        <v>352145.89999999997</v>
      </c>
      <c r="CM3" s="202">
        <f t="shared" si="3"/>
        <v>346619.1</v>
      </c>
      <c r="CN3" s="202">
        <f t="shared" si="3"/>
        <v>348702.1</v>
      </c>
      <c r="CO3" s="202">
        <f t="shared" si="3"/>
        <v>344400.10000000003</v>
      </c>
      <c r="CP3" s="202">
        <f t="shared" si="3"/>
        <v>352867.4</v>
      </c>
      <c r="CQ3" s="202">
        <f t="shared" si="3"/>
        <v>358237.5</v>
      </c>
      <c r="CR3" s="202">
        <f t="shared" si="3"/>
        <v>368235.6</v>
      </c>
    </row>
    <row r="4" spans="1:96" ht="27.75" customHeight="1" thickBot="1">
      <c r="A4" s="183" t="s">
        <v>56</v>
      </c>
      <c r="B4" s="181">
        <f aca="true" t="shared" si="4" ref="B4:AV4">B3/B64</f>
        <v>0.3111511291294986</v>
      </c>
      <c r="C4" s="177">
        <f t="shared" si="4"/>
        <v>0.28579987661311446</v>
      </c>
      <c r="D4" s="177">
        <f t="shared" si="4"/>
        <v>0.2874100469108301</v>
      </c>
      <c r="E4" s="177">
        <f t="shared" si="4"/>
        <v>0.2584169366726872</v>
      </c>
      <c r="F4" s="177">
        <f t="shared" si="4"/>
        <v>0.2244025445430717</v>
      </c>
      <c r="G4" s="177">
        <f t="shared" si="4"/>
        <v>0.20314348949529928</v>
      </c>
      <c r="H4" s="177">
        <f t="shared" si="4"/>
        <v>0.18253624370324262</v>
      </c>
      <c r="I4" s="177">
        <f t="shared" si="4"/>
        <v>0.19682667157591727</v>
      </c>
      <c r="J4" s="177">
        <f t="shared" si="4"/>
        <v>0.2093773187713618</v>
      </c>
      <c r="K4" s="177">
        <f t="shared" si="4"/>
        <v>0.2885845646854558</v>
      </c>
      <c r="L4" s="177">
        <f t="shared" si="4"/>
        <v>0.3642370213886615</v>
      </c>
      <c r="M4" s="177">
        <f t="shared" si="4"/>
        <v>0.33809562868051857</v>
      </c>
      <c r="N4" s="177">
        <f t="shared" si="4"/>
        <v>0.34293623246315047</v>
      </c>
      <c r="O4" s="177">
        <f t="shared" si="4"/>
        <v>0.35336619810158054</v>
      </c>
      <c r="P4" s="177">
        <f t="shared" si="4"/>
        <v>0.34714000099449477</v>
      </c>
      <c r="Q4" s="177">
        <f t="shared" si="4"/>
        <v>0.3563546871248446</v>
      </c>
      <c r="R4" s="177">
        <f t="shared" si="4"/>
        <v>0.3800848089859705</v>
      </c>
      <c r="S4" s="177">
        <f t="shared" si="4"/>
        <v>0.36340320665956316</v>
      </c>
      <c r="T4" s="177">
        <f t="shared" si="4"/>
        <v>0.36862408389273665</v>
      </c>
      <c r="U4" s="177">
        <f t="shared" si="4"/>
        <v>0.37709638943349316</v>
      </c>
      <c r="V4" s="177">
        <f t="shared" si="4"/>
        <v>0.37560438893624576</v>
      </c>
      <c r="W4" s="177">
        <f t="shared" si="4"/>
        <v>0.3807123766826496</v>
      </c>
      <c r="X4" s="177">
        <f t="shared" si="4"/>
        <v>0.3950967709968377</v>
      </c>
      <c r="Y4" s="177">
        <f t="shared" si="4"/>
        <v>0.37616866028708135</v>
      </c>
      <c r="Z4" s="177">
        <f t="shared" si="4"/>
        <v>0.3936712235133288</v>
      </c>
      <c r="AA4" s="177">
        <f t="shared" si="4"/>
        <v>0.4018661995898838</v>
      </c>
      <c r="AB4" s="177">
        <f t="shared" si="4"/>
        <v>0.40438875598086127</v>
      </c>
      <c r="AC4" s="177">
        <f t="shared" si="4"/>
        <v>0.4062934039644566</v>
      </c>
      <c r="AD4" s="177">
        <f t="shared" si="4"/>
        <v>0.3967392344497607</v>
      </c>
      <c r="AE4" s="177">
        <f t="shared" si="4"/>
        <v>0.40447607655502393</v>
      </c>
      <c r="AF4" s="177">
        <f t="shared" si="4"/>
        <v>0.3958711551606288</v>
      </c>
      <c r="AG4" s="177">
        <f t="shared" si="4"/>
        <v>0.40378930280246067</v>
      </c>
      <c r="AH4" s="177">
        <f t="shared" si="4"/>
        <v>0.4082248804511278</v>
      </c>
      <c r="AI4" s="177">
        <f t="shared" si="4"/>
        <v>0.4116131237183869</v>
      </c>
      <c r="AJ4" s="177">
        <f t="shared" si="4"/>
        <v>0.40452796342424086</v>
      </c>
      <c r="AK4" s="177">
        <f t="shared" si="4"/>
        <v>0.3860718755013637</v>
      </c>
      <c r="AL4" s="177">
        <f t="shared" si="4"/>
        <v>0.40066773624257984</v>
      </c>
      <c r="AM4" s="177">
        <f t="shared" si="4"/>
        <v>0.40532419380715545</v>
      </c>
      <c r="AN4" s="177">
        <f t="shared" si="4"/>
        <v>0.40620616075725974</v>
      </c>
      <c r="AO4" s="177">
        <f t="shared" si="4"/>
        <v>0.401297930370608</v>
      </c>
      <c r="AP4" s="177">
        <f t="shared" si="4"/>
        <v>0.4061405301820505</v>
      </c>
      <c r="AQ4" s="177">
        <f t="shared" si="4"/>
        <v>0.4033942829766847</v>
      </c>
      <c r="AR4" s="177">
        <f t="shared" si="4"/>
        <v>0.4050744171191313</v>
      </c>
      <c r="AS4" s="177">
        <f t="shared" si="4"/>
        <v>0.4176731138107417</v>
      </c>
      <c r="AT4" s="177">
        <f t="shared" si="4"/>
        <v>0.4255332480818415</v>
      </c>
      <c r="AU4" s="177">
        <f t="shared" si="4"/>
        <v>0.41804715473145776</v>
      </c>
      <c r="AV4" s="177">
        <f t="shared" si="4"/>
        <v>0.4190891606636379</v>
      </c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7">
        <f>BH3/BH64</f>
        <v>0.44250266409636246</v>
      </c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7">
        <f aca="true" t="shared" si="5" ref="BT4:CO4">BT3/BT64</f>
        <v>0.44331678965676424</v>
      </c>
      <c r="BU4" s="177">
        <f t="shared" si="5"/>
        <v>0.4036640913306915</v>
      </c>
      <c r="BV4" s="177">
        <f t="shared" si="5"/>
        <v>0.4092295751024923</v>
      </c>
      <c r="BW4" s="177">
        <f t="shared" si="5"/>
        <v>0.40770806864553694</v>
      </c>
      <c r="BX4" s="177">
        <f t="shared" si="5"/>
        <v>0.4136265821667752</v>
      </c>
      <c r="BY4" s="177">
        <f t="shared" si="5"/>
        <v>0.424586928982316</v>
      </c>
      <c r="BZ4" s="177">
        <f t="shared" si="5"/>
        <v>0.41946804371494295</v>
      </c>
      <c r="CA4" s="177">
        <f t="shared" si="5"/>
        <v>0.41748787386341757</v>
      </c>
      <c r="CB4" s="177">
        <f t="shared" si="5"/>
        <v>0.4112917098135763</v>
      </c>
      <c r="CC4" s="177">
        <f t="shared" si="5"/>
        <v>0.41350790895696915</v>
      </c>
      <c r="CD4" s="177">
        <f t="shared" si="5"/>
        <v>0.42086024774119174</v>
      </c>
      <c r="CE4" s="177">
        <f t="shared" si="5"/>
        <v>0.4284461132745666</v>
      </c>
      <c r="CF4" s="177">
        <f t="shared" si="5"/>
        <v>0.44539288993834447</v>
      </c>
      <c r="CG4" s="177">
        <f t="shared" si="5"/>
        <v>0.3907944210032818</v>
      </c>
      <c r="CH4" s="177">
        <f t="shared" si="5"/>
        <v>0.3959393694327239</v>
      </c>
      <c r="CI4" s="177">
        <f t="shared" si="5"/>
        <v>0.4015134786685419</v>
      </c>
      <c r="CJ4" s="177">
        <f t="shared" si="5"/>
        <v>0.40057747304266295</v>
      </c>
      <c r="CK4" s="177">
        <f t="shared" si="5"/>
        <v>0.4131331458040319</v>
      </c>
      <c r="CL4" s="178">
        <f t="shared" si="5"/>
        <v>0.41273546647913734</v>
      </c>
      <c r="CM4" s="178">
        <f t="shared" si="5"/>
        <v>0.40625773558368494</v>
      </c>
      <c r="CN4" s="178">
        <f t="shared" si="5"/>
        <v>0.40869913267698077</v>
      </c>
      <c r="CO4" s="178">
        <f t="shared" si="5"/>
        <v>0.4036569385841538</v>
      </c>
      <c r="CP4" s="178">
        <f>CP3/CP64</f>
        <v>0.4135811064228786</v>
      </c>
      <c r="CQ4" s="178">
        <f>CQ3/CQ64</f>
        <v>0.41987517580872014</v>
      </c>
      <c r="CR4" s="178">
        <f>CR3/CR64</f>
        <v>0.43159353023909985</v>
      </c>
    </row>
    <row r="5" spans="1:96" ht="21" customHeight="1">
      <c r="A5" s="197" t="s">
        <v>60</v>
      </c>
      <c r="B5" s="27">
        <f aca="true" t="shared" si="6" ref="B5:AM5">B7</f>
        <v>25285.50802</v>
      </c>
      <c r="C5" s="28">
        <f t="shared" si="6"/>
        <v>33776.441999999995</v>
      </c>
      <c r="D5" s="27">
        <f t="shared" si="6"/>
        <v>43793.79546</v>
      </c>
      <c r="E5" s="28">
        <f t="shared" si="6"/>
        <v>51136.60874999999</v>
      </c>
      <c r="F5" s="28">
        <f t="shared" si="6"/>
        <v>55147.28415</v>
      </c>
      <c r="G5" s="28">
        <f t="shared" si="6"/>
        <v>56381.84912</v>
      </c>
      <c r="H5" s="28">
        <f t="shared" si="6"/>
        <v>59868.50671</v>
      </c>
      <c r="I5" s="28">
        <f t="shared" si="6"/>
        <v>76149.63</v>
      </c>
      <c r="J5" s="28">
        <f t="shared" si="6"/>
        <v>100556.4</v>
      </c>
      <c r="K5" s="28">
        <f t="shared" si="6"/>
        <v>136493.8</v>
      </c>
      <c r="L5" s="29">
        <f t="shared" si="6"/>
        <v>182510.3</v>
      </c>
      <c r="M5" s="28">
        <f t="shared" si="6"/>
        <v>178723</v>
      </c>
      <c r="N5" s="28">
        <f t="shared" si="6"/>
        <v>181494.6165</v>
      </c>
      <c r="O5" s="29">
        <f t="shared" si="6"/>
        <v>187476.50066000002</v>
      </c>
      <c r="P5" s="29">
        <f t="shared" si="6"/>
        <v>184007.58496</v>
      </c>
      <c r="Q5" s="28">
        <f t="shared" si="6"/>
        <v>189121.47608</v>
      </c>
      <c r="R5" s="30">
        <f t="shared" si="6"/>
        <v>202388.04462</v>
      </c>
      <c r="S5" s="29">
        <f t="shared" si="6"/>
        <v>192954.63157</v>
      </c>
      <c r="T5" s="29">
        <f t="shared" si="6"/>
        <v>195975.12888</v>
      </c>
      <c r="U5" s="29">
        <f t="shared" si="6"/>
        <v>200634.48911</v>
      </c>
      <c r="V5" s="28">
        <f t="shared" si="6"/>
        <v>199580.80933</v>
      </c>
      <c r="W5" s="29">
        <f t="shared" si="6"/>
        <v>202455.63009</v>
      </c>
      <c r="X5" s="28">
        <f t="shared" si="6"/>
        <v>210388.6</v>
      </c>
      <c r="Y5" s="28">
        <f t="shared" si="6"/>
        <v>207511.9</v>
      </c>
      <c r="Z5" s="28">
        <f t="shared" si="6"/>
        <v>217780.5</v>
      </c>
      <c r="AA5" s="28">
        <f t="shared" si="6"/>
        <v>222624.1</v>
      </c>
      <c r="AB5" s="28">
        <f t="shared" si="6"/>
        <v>223952.7</v>
      </c>
      <c r="AC5" s="28">
        <f t="shared" si="6"/>
        <v>224749.2</v>
      </c>
      <c r="AD5" s="28">
        <f t="shared" si="6"/>
        <v>219100.9</v>
      </c>
      <c r="AE5" s="28">
        <f t="shared" si="6"/>
        <v>223454.6</v>
      </c>
      <c r="AF5" s="28">
        <f t="shared" si="6"/>
        <v>218464.4</v>
      </c>
      <c r="AG5" s="28">
        <f t="shared" si="6"/>
        <v>222804.5</v>
      </c>
      <c r="AH5" s="28">
        <f t="shared" si="6"/>
        <v>225335.6</v>
      </c>
      <c r="AI5" s="28">
        <f t="shared" si="6"/>
        <v>227302</v>
      </c>
      <c r="AJ5" s="28">
        <f t="shared" si="6"/>
        <v>226841.9</v>
      </c>
      <c r="AK5" s="29">
        <f t="shared" si="6"/>
        <v>226822.3</v>
      </c>
      <c r="AL5" s="29">
        <f t="shared" si="6"/>
        <v>235942.1</v>
      </c>
      <c r="AM5" s="29">
        <f t="shared" si="6"/>
        <v>238452.66999999998</v>
      </c>
      <c r="AN5" s="29">
        <v>238986.6</v>
      </c>
      <c r="AO5" s="28">
        <f aca="true" t="shared" si="7" ref="AO5:AT5">AO7</f>
        <v>235516.09999999998</v>
      </c>
      <c r="AP5" s="30">
        <f t="shared" si="7"/>
        <v>239716.80000000002</v>
      </c>
      <c r="AQ5" s="168">
        <f t="shared" si="7"/>
        <v>237881.69999999998</v>
      </c>
      <c r="AR5" s="168">
        <f t="shared" si="7"/>
        <v>238895.5</v>
      </c>
      <c r="AS5" s="29">
        <f t="shared" si="7"/>
        <v>246545.9</v>
      </c>
      <c r="AT5" s="29">
        <f t="shared" si="7"/>
        <v>251459.30000000002</v>
      </c>
      <c r="AU5" s="168">
        <v>246739.2</v>
      </c>
      <c r="AV5" s="28">
        <f aca="true" t="shared" si="8" ref="AV5:CQ5">AV7</f>
        <v>252179.8</v>
      </c>
      <c r="AW5" s="28">
        <f t="shared" si="8"/>
        <v>255987.19999999998</v>
      </c>
      <c r="AX5" s="28">
        <f t="shared" si="8"/>
        <v>259457.7</v>
      </c>
      <c r="AY5" s="28">
        <f t="shared" si="8"/>
        <v>254545.9</v>
      </c>
      <c r="AZ5" s="28">
        <f t="shared" si="8"/>
        <v>261542.1</v>
      </c>
      <c r="BA5" s="169">
        <f t="shared" si="8"/>
        <v>255580.2</v>
      </c>
      <c r="BB5" s="169">
        <f t="shared" si="8"/>
        <v>257060.7</v>
      </c>
      <c r="BC5" s="169">
        <f t="shared" si="8"/>
        <v>255082.86</v>
      </c>
      <c r="BD5" s="169">
        <f t="shared" si="8"/>
        <v>255443.6</v>
      </c>
      <c r="BE5" s="169">
        <f t="shared" si="8"/>
        <v>253959.2</v>
      </c>
      <c r="BF5" s="169">
        <f t="shared" si="8"/>
        <v>261718.59999999998</v>
      </c>
      <c r="BG5" s="169">
        <f t="shared" si="8"/>
        <v>265653.60000000003</v>
      </c>
      <c r="BH5" s="169">
        <f t="shared" si="8"/>
        <v>280763.8</v>
      </c>
      <c r="BI5" s="169">
        <f t="shared" si="8"/>
        <v>268239.7</v>
      </c>
      <c r="BJ5" s="169">
        <f t="shared" si="8"/>
        <v>272404.3</v>
      </c>
      <c r="BK5" s="169">
        <f t="shared" si="8"/>
        <v>268935.1</v>
      </c>
      <c r="BL5" s="169">
        <f t="shared" si="8"/>
        <v>265250.9</v>
      </c>
      <c r="BM5" s="169">
        <f t="shared" si="8"/>
        <v>266229.1</v>
      </c>
      <c r="BN5" s="169">
        <f t="shared" si="8"/>
        <v>273834.7</v>
      </c>
      <c r="BO5" s="169">
        <f t="shared" si="8"/>
        <v>268640.8</v>
      </c>
      <c r="BP5" s="169">
        <f t="shared" si="8"/>
        <v>270339.9</v>
      </c>
      <c r="BQ5" s="169">
        <f t="shared" si="8"/>
        <v>272131.4</v>
      </c>
      <c r="BR5" s="169">
        <f t="shared" si="8"/>
        <v>277077.8</v>
      </c>
      <c r="BS5" s="169">
        <f t="shared" si="8"/>
        <v>281841</v>
      </c>
      <c r="BT5" s="169">
        <f t="shared" si="8"/>
        <v>299142.6</v>
      </c>
      <c r="BU5" s="169">
        <f t="shared" si="8"/>
        <v>290246.1</v>
      </c>
      <c r="BV5" s="169">
        <f t="shared" si="8"/>
        <v>294597.57</v>
      </c>
      <c r="BW5" s="169">
        <f t="shared" si="8"/>
        <v>293582.39999999997</v>
      </c>
      <c r="BX5" s="169">
        <f t="shared" si="8"/>
        <v>297926.2</v>
      </c>
      <c r="BY5" s="169">
        <f t="shared" si="8"/>
        <v>306275.5</v>
      </c>
      <c r="BZ5" s="169">
        <f t="shared" si="8"/>
        <v>302421.1</v>
      </c>
      <c r="CA5" s="169">
        <f t="shared" si="8"/>
        <v>300994.80000000005</v>
      </c>
      <c r="CB5" s="169">
        <f t="shared" si="8"/>
        <v>296362.8</v>
      </c>
      <c r="CC5" s="169">
        <f t="shared" si="8"/>
        <v>298090.60000000003</v>
      </c>
      <c r="CD5" s="169">
        <f t="shared" si="8"/>
        <v>303627.5</v>
      </c>
      <c r="CE5" s="169">
        <f t="shared" si="8"/>
        <v>309343.8</v>
      </c>
      <c r="CF5" s="169">
        <f t="shared" si="8"/>
        <v>323482.1</v>
      </c>
      <c r="CG5" s="169">
        <f t="shared" si="8"/>
        <v>317877.30000000005</v>
      </c>
      <c r="CH5" s="169">
        <f t="shared" si="8"/>
        <v>322256.67000000004</v>
      </c>
      <c r="CI5" s="169">
        <f t="shared" si="8"/>
        <v>326781</v>
      </c>
      <c r="CJ5" s="169">
        <f t="shared" si="8"/>
        <v>326123.8</v>
      </c>
      <c r="CK5" s="169">
        <f t="shared" si="8"/>
        <v>337023.2</v>
      </c>
      <c r="CL5" s="169">
        <f t="shared" si="8"/>
        <v>336593.39999999997</v>
      </c>
      <c r="CM5" s="169">
        <f t="shared" si="8"/>
        <v>330993.89999999997</v>
      </c>
      <c r="CN5" s="169">
        <f t="shared" si="8"/>
        <v>333090.5</v>
      </c>
      <c r="CO5" s="169">
        <f t="shared" si="8"/>
        <v>328871.2</v>
      </c>
      <c r="CP5" s="169">
        <f t="shared" si="8"/>
        <v>337195.7</v>
      </c>
      <c r="CQ5" s="169">
        <f t="shared" si="8"/>
        <v>342564.6</v>
      </c>
      <c r="CR5" s="169">
        <f>CR7</f>
        <v>352996.8</v>
      </c>
    </row>
    <row r="6" spans="1:96" ht="16.5" customHeight="1">
      <c r="A6" s="185" t="s">
        <v>3</v>
      </c>
      <c r="B6" s="170">
        <f aca="true" t="shared" si="9" ref="B6:AT6">B5/B64</f>
        <v>0.3111105262380806</v>
      </c>
      <c r="C6" s="36">
        <f t="shared" si="9"/>
        <v>0.28544999873232646</v>
      </c>
      <c r="D6" s="36">
        <f t="shared" si="9"/>
        <v>0.2869278350258796</v>
      </c>
      <c r="E6" s="36">
        <f t="shared" si="9"/>
        <v>0.2572768739843329</v>
      </c>
      <c r="F6" s="36">
        <f t="shared" si="9"/>
        <v>0.22169940723141493</v>
      </c>
      <c r="G6" s="36">
        <f t="shared" si="9"/>
        <v>0.1940928886119612</v>
      </c>
      <c r="H6" s="36">
        <f t="shared" si="9"/>
        <v>0.1725297308100195</v>
      </c>
      <c r="I6" s="36">
        <f t="shared" si="9"/>
        <v>0.18206377403420856</v>
      </c>
      <c r="J6" s="36">
        <f t="shared" si="9"/>
        <v>0.19175928085406876</v>
      </c>
      <c r="K6" s="36">
        <f t="shared" si="9"/>
        <v>0.2673608308972684</v>
      </c>
      <c r="L6" s="36">
        <f t="shared" si="9"/>
        <v>0.3418557693568417</v>
      </c>
      <c r="M6" s="36">
        <f t="shared" si="9"/>
        <v>0.3173912271354999</v>
      </c>
      <c r="N6" s="36">
        <f t="shared" si="9"/>
        <v>0.32231329515183804</v>
      </c>
      <c r="O6" s="36">
        <f t="shared" si="9"/>
        <v>0.33293642454271005</v>
      </c>
      <c r="P6" s="36">
        <f t="shared" si="9"/>
        <v>0.3267760343811046</v>
      </c>
      <c r="Q6" s="36">
        <f t="shared" si="9"/>
        <v>0.33585770925235303</v>
      </c>
      <c r="R6" s="36">
        <f t="shared" si="9"/>
        <v>0.359417589451252</v>
      </c>
      <c r="S6" s="36">
        <f t="shared" si="9"/>
        <v>0.3426649468478068</v>
      </c>
      <c r="T6" s="36">
        <f t="shared" si="9"/>
        <v>0.34802899818859884</v>
      </c>
      <c r="U6" s="36">
        <f t="shared" si="9"/>
        <v>0.3563034791511277</v>
      </c>
      <c r="V6" s="36">
        <f t="shared" si="9"/>
        <v>0.35443226661339017</v>
      </c>
      <c r="W6" s="36">
        <f t="shared" si="9"/>
        <v>0.35953761337240275</v>
      </c>
      <c r="X6" s="36">
        <f t="shared" si="9"/>
        <v>0.3723052856412262</v>
      </c>
      <c r="Y6" s="36">
        <f t="shared" si="9"/>
        <v>0.35459996582365</v>
      </c>
      <c r="Z6" s="36">
        <f t="shared" si="9"/>
        <v>0.37214712918660287</v>
      </c>
      <c r="AA6" s="36">
        <f t="shared" si="9"/>
        <v>0.380423957621326</v>
      </c>
      <c r="AB6" s="36">
        <f t="shared" si="9"/>
        <v>0.3826942925495557</v>
      </c>
      <c r="AC6" s="36">
        <f t="shared" si="9"/>
        <v>0.38405536568694465</v>
      </c>
      <c r="AD6" s="36">
        <f t="shared" si="9"/>
        <v>0.37440345181134654</v>
      </c>
      <c r="AE6" s="36">
        <f t="shared" si="9"/>
        <v>0.3818431305536569</v>
      </c>
      <c r="AF6" s="36">
        <f t="shared" si="9"/>
        <v>0.3733157894736842</v>
      </c>
      <c r="AG6" s="36">
        <f t="shared" si="9"/>
        <v>0.3807322282980178</v>
      </c>
      <c r="AH6" s="36">
        <f t="shared" si="9"/>
        <v>0.3850574162679426</v>
      </c>
      <c r="AI6" s="36">
        <f t="shared" si="9"/>
        <v>0.3884176349965824</v>
      </c>
      <c r="AJ6" s="37">
        <f t="shared" si="9"/>
        <v>0.3810118800672526</v>
      </c>
      <c r="AK6" s="38">
        <f t="shared" si="9"/>
        <v>0.3639055029680731</v>
      </c>
      <c r="AL6" s="38">
        <f t="shared" si="9"/>
        <v>0.3785369805871972</v>
      </c>
      <c r="AM6" s="38">
        <f t="shared" si="9"/>
        <v>0.3825648483876143</v>
      </c>
      <c r="AN6" s="38">
        <f t="shared" si="9"/>
        <v>0.38342146638857694</v>
      </c>
      <c r="AO6" s="39">
        <f t="shared" si="9"/>
        <v>0.377853521578694</v>
      </c>
      <c r="AP6" s="40">
        <f t="shared" si="9"/>
        <v>0.3828118811881188</v>
      </c>
      <c r="AQ6" s="41">
        <f t="shared" si="9"/>
        <v>0.37988134781220056</v>
      </c>
      <c r="AR6" s="41">
        <f t="shared" si="9"/>
        <v>0.38150031938677736</v>
      </c>
      <c r="AS6" s="41">
        <f t="shared" si="9"/>
        <v>0.3940951086956522</v>
      </c>
      <c r="AT6" s="41">
        <f t="shared" si="9"/>
        <v>0.40194900895140667</v>
      </c>
      <c r="AU6" s="42">
        <v>0.39440409207161103</v>
      </c>
      <c r="AV6" s="37">
        <f aca="true" t="shared" si="10" ref="AV6:CR6">AV5/AV64</f>
        <v>0.39560346125850254</v>
      </c>
      <c r="AW6" s="43">
        <f t="shared" si="10"/>
        <v>0.38235053379400913</v>
      </c>
      <c r="AX6" s="43">
        <f t="shared" si="10"/>
        <v>0.38753418175582954</v>
      </c>
      <c r="AY6" s="43">
        <f t="shared" si="10"/>
        <v>0.38019776277906264</v>
      </c>
      <c r="AZ6" s="43">
        <f t="shared" si="10"/>
        <v>0.3906475071589756</v>
      </c>
      <c r="BA6" s="44">
        <f t="shared" si="10"/>
        <v>0.38174262579214746</v>
      </c>
      <c r="BB6" s="44">
        <f t="shared" si="10"/>
        <v>0.38395394716009884</v>
      </c>
      <c r="BC6" s="44">
        <f t="shared" si="10"/>
        <v>0.38099978312471283</v>
      </c>
      <c r="BD6" s="44">
        <f t="shared" si="10"/>
        <v>0.38153859573550297</v>
      </c>
      <c r="BE6" s="44">
        <f t="shared" si="10"/>
        <v>0.37932144920488026</v>
      </c>
      <c r="BF6" s="44">
        <f t="shared" si="10"/>
        <v>0.39091113311064285</v>
      </c>
      <c r="BG6" s="44">
        <f t="shared" si="10"/>
        <v>0.3967885728829418</v>
      </c>
      <c r="BH6" s="44">
        <f t="shared" si="10"/>
        <v>0.42021450465767857</v>
      </c>
      <c r="BI6" s="44">
        <f t="shared" si="10"/>
        <v>0.37766058547593256</v>
      </c>
      <c r="BJ6" s="44">
        <f t="shared" si="10"/>
        <v>0.3835240176012782</v>
      </c>
      <c r="BK6" s="44">
        <f t="shared" si="10"/>
        <v>0.3786396544621414</v>
      </c>
      <c r="BL6" s="44">
        <f t="shared" si="10"/>
        <v>0.3734525880845306</v>
      </c>
      <c r="BM6" s="44">
        <f t="shared" si="10"/>
        <v>0.37482981742348576</v>
      </c>
      <c r="BN6" s="44">
        <f t="shared" si="10"/>
        <v>0.3855379092864567</v>
      </c>
      <c r="BO6" s="44">
        <f t="shared" si="10"/>
        <v>0.3782253030059417</v>
      </c>
      <c r="BP6" s="44">
        <f t="shared" si="10"/>
        <v>0.38061750334311095</v>
      </c>
      <c r="BQ6" s="44">
        <f t="shared" si="10"/>
        <v>0.383139795676722</v>
      </c>
      <c r="BR6" s="44">
        <f t="shared" si="10"/>
        <v>0.3901039412524818</v>
      </c>
      <c r="BS6" s="44">
        <f t="shared" si="10"/>
        <v>0.39681015551062093</v>
      </c>
      <c r="BT6" s="44">
        <f t="shared" si="10"/>
        <v>0.41975559138381746</v>
      </c>
      <c r="BU6" s="44">
        <f t="shared" si="10"/>
        <v>0.38229119112867044</v>
      </c>
      <c r="BV6" s="44">
        <f t="shared" si="10"/>
        <v>0.38802263299631545</v>
      </c>
      <c r="BW6" s="44">
        <f t="shared" si="10"/>
        <v>0.3866855244236314</v>
      </c>
      <c r="BX6" s="44">
        <f t="shared" si="10"/>
        <v>0.3924068639214739</v>
      </c>
      <c r="BY6" s="44">
        <f t="shared" si="10"/>
        <v>0.4034039586010944</v>
      </c>
      <c r="BZ6" s="44">
        <f t="shared" si="10"/>
        <v>0.39832722142155486</v>
      </c>
      <c r="CA6" s="44">
        <f t="shared" si="10"/>
        <v>0.3964486021191532</v>
      </c>
      <c r="CB6" s="44">
        <f t="shared" si="10"/>
        <v>0.3903476664052607</v>
      </c>
      <c r="CC6" s="44">
        <f t="shared" si="10"/>
        <v>0.3926233997227183</v>
      </c>
      <c r="CD6" s="44">
        <f t="shared" si="10"/>
        <v>0.3999162043328761</v>
      </c>
      <c r="CE6" s="44">
        <f t="shared" si="10"/>
        <v>0.40744530166045023</v>
      </c>
      <c r="CF6" s="44">
        <f t="shared" si="10"/>
        <v>0.4243501246228519</v>
      </c>
      <c r="CG6" s="44">
        <f t="shared" si="10"/>
        <v>0.3725706751054853</v>
      </c>
      <c r="CH6" s="44">
        <f t="shared" si="10"/>
        <v>0.3777035513361463</v>
      </c>
      <c r="CI6" s="44">
        <f t="shared" si="10"/>
        <v>0.38300632911392407</v>
      </c>
      <c r="CJ6" s="44">
        <f t="shared" si="10"/>
        <v>0.3822360525082044</v>
      </c>
      <c r="CK6" s="44">
        <f t="shared" si="10"/>
        <v>0.3950107829348336</v>
      </c>
      <c r="CL6" s="44">
        <f t="shared" si="10"/>
        <v>0.39450703234880447</v>
      </c>
      <c r="CM6" s="44">
        <f t="shared" si="10"/>
        <v>0.3879440928270042</v>
      </c>
      <c r="CN6" s="44">
        <f t="shared" si="10"/>
        <v>0.3904014299109236</v>
      </c>
      <c r="CO6" s="44">
        <f t="shared" si="10"/>
        <v>0.3854561650257853</v>
      </c>
      <c r="CP6" s="44">
        <f t="shared" si="10"/>
        <v>0.395212962962963</v>
      </c>
      <c r="CQ6" s="44">
        <f t="shared" si="10"/>
        <v>0.4015056258790436</v>
      </c>
      <c r="CR6" s="44">
        <f t="shared" si="10"/>
        <v>0.41373277074542897</v>
      </c>
    </row>
    <row r="7" spans="1:96" ht="16.5" customHeight="1" hidden="1">
      <c r="A7" s="186" t="s">
        <v>4</v>
      </c>
      <c r="B7" s="46">
        <f aca="true" t="shared" si="11" ref="B7:AT7">B8+B9</f>
        <v>25285.50802</v>
      </c>
      <c r="C7" s="47">
        <f t="shared" si="11"/>
        <v>33776.441999999995</v>
      </c>
      <c r="D7" s="46">
        <f t="shared" si="11"/>
        <v>43793.79546</v>
      </c>
      <c r="E7" s="47">
        <f t="shared" si="11"/>
        <v>51136.60874999999</v>
      </c>
      <c r="F7" s="47">
        <f t="shared" si="11"/>
        <v>55147.28415</v>
      </c>
      <c r="G7" s="47">
        <f t="shared" si="11"/>
        <v>56381.84912</v>
      </c>
      <c r="H7" s="47">
        <f t="shared" si="11"/>
        <v>59868.50671</v>
      </c>
      <c r="I7" s="47">
        <f t="shared" si="11"/>
        <v>76149.63</v>
      </c>
      <c r="J7" s="47">
        <f t="shared" si="11"/>
        <v>100556.4</v>
      </c>
      <c r="K7" s="47">
        <f t="shared" si="11"/>
        <v>136493.8</v>
      </c>
      <c r="L7" s="48">
        <f t="shared" si="11"/>
        <v>182510.3</v>
      </c>
      <c r="M7" s="47">
        <f t="shared" si="11"/>
        <v>178723</v>
      </c>
      <c r="N7" s="47">
        <f t="shared" si="11"/>
        <v>181494.6165</v>
      </c>
      <c r="O7" s="48">
        <f t="shared" si="11"/>
        <v>187476.50066000002</v>
      </c>
      <c r="P7" s="47">
        <f t="shared" si="11"/>
        <v>184007.58496</v>
      </c>
      <c r="Q7" s="47">
        <f t="shared" si="11"/>
        <v>189121.47608</v>
      </c>
      <c r="R7" s="48">
        <f t="shared" si="11"/>
        <v>202388.04462</v>
      </c>
      <c r="S7" s="48">
        <f t="shared" si="11"/>
        <v>192954.63157</v>
      </c>
      <c r="T7" s="48">
        <f t="shared" si="11"/>
        <v>195975.12888</v>
      </c>
      <c r="U7" s="48">
        <f t="shared" si="11"/>
        <v>200634.48911</v>
      </c>
      <c r="V7" s="47">
        <f t="shared" si="11"/>
        <v>199580.80933</v>
      </c>
      <c r="W7" s="48">
        <f t="shared" si="11"/>
        <v>202455.63009</v>
      </c>
      <c r="X7" s="47">
        <f t="shared" si="11"/>
        <v>210388.6</v>
      </c>
      <c r="Y7" s="47">
        <f t="shared" si="11"/>
        <v>207511.9</v>
      </c>
      <c r="Z7" s="47">
        <f t="shared" si="11"/>
        <v>217780.5</v>
      </c>
      <c r="AA7" s="47">
        <f t="shared" si="11"/>
        <v>222624.1</v>
      </c>
      <c r="AB7" s="47">
        <f t="shared" si="11"/>
        <v>223952.7</v>
      </c>
      <c r="AC7" s="47">
        <f t="shared" si="11"/>
        <v>224749.2</v>
      </c>
      <c r="AD7" s="47">
        <f t="shared" si="11"/>
        <v>219100.9</v>
      </c>
      <c r="AE7" s="47">
        <f t="shared" si="11"/>
        <v>223454.6</v>
      </c>
      <c r="AF7" s="47">
        <f t="shared" si="11"/>
        <v>218464.4</v>
      </c>
      <c r="AG7" s="47">
        <f t="shared" si="11"/>
        <v>222804.5</v>
      </c>
      <c r="AH7" s="47">
        <f t="shared" si="11"/>
        <v>225335.6</v>
      </c>
      <c r="AI7" s="47">
        <f t="shared" si="11"/>
        <v>227302</v>
      </c>
      <c r="AJ7" s="47">
        <f t="shared" si="11"/>
        <v>226841.9</v>
      </c>
      <c r="AK7" s="48">
        <f t="shared" si="11"/>
        <v>226822.3</v>
      </c>
      <c r="AL7" s="48">
        <f t="shared" si="11"/>
        <v>235942.1</v>
      </c>
      <c r="AM7" s="48">
        <f t="shared" si="11"/>
        <v>238452.66999999998</v>
      </c>
      <c r="AN7" s="48">
        <f t="shared" si="11"/>
        <v>238986.63999999998</v>
      </c>
      <c r="AO7" s="47">
        <f t="shared" si="11"/>
        <v>235516.09999999998</v>
      </c>
      <c r="AP7" s="49">
        <f t="shared" si="11"/>
        <v>239716.80000000002</v>
      </c>
      <c r="AQ7" s="50">
        <f t="shared" si="11"/>
        <v>237881.69999999998</v>
      </c>
      <c r="AR7" s="50">
        <f t="shared" si="11"/>
        <v>238895.5</v>
      </c>
      <c r="AS7" s="48">
        <f t="shared" si="11"/>
        <v>246545.9</v>
      </c>
      <c r="AT7" s="48">
        <f t="shared" si="11"/>
        <v>251459.30000000002</v>
      </c>
      <c r="AU7" s="50">
        <v>246739.2</v>
      </c>
      <c r="AV7" s="47">
        <f aca="true" t="shared" si="12" ref="AV7:CR7">AV8+AV9</f>
        <v>252179.8</v>
      </c>
      <c r="AW7" s="47">
        <f t="shared" si="12"/>
        <v>255987.19999999998</v>
      </c>
      <c r="AX7" s="47">
        <f t="shared" si="12"/>
        <v>259457.7</v>
      </c>
      <c r="AY7" s="47">
        <f t="shared" si="12"/>
        <v>254545.9</v>
      </c>
      <c r="AZ7" s="47">
        <f t="shared" si="12"/>
        <v>261542.1</v>
      </c>
      <c r="BA7" s="51">
        <f t="shared" si="12"/>
        <v>255580.2</v>
      </c>
      <c r="BB7" s="51">
        <f t="shared" si="12"/>
        <v>257060.7</v>
      </c>
      <c r="BC7" s="51">
        <f t="shared" si="12"/>
        <v>255082.86</v>
      </c>
      <c r="BD7" s="51">
        <f t="shared" si="12"/>
        <v>255443.6</v>
      </c>
      <c r="BE7" s="51">
        <f t="shared" si="12"/>
        <v>253959.2</v>
      </c>
      <c r="BF7" s="51">
        <f t="shared" si="12"/>
        <v>261718.59999999998</v>
      </c>
      <c r="BG7" s="51">
        <f t="shared" si="12"/>
        <v>265653.60000000003</v>
      </c>
      <c r="BH7" s="51">
        <f t="shared" si="12"/>
        <v>280763.8</v>
      </c>
      <c r="BI7" s="51">
        <f t="shared" si="12"/>
        <v>268239.7</v>
      </c>
      <c r="BJ7" s="51">
        <f t="shared" si="12"/>
        <v>272404.3</v>
      </c>
      <c r="BK7" s="51">
        <f t="shared" si="12"/>
        <v>268935.1</v>
      </c>
      <c r="BL7" s="51">
        <f t="shared" si="12"/>
        <v>265250.9</v>
      </c>
      <c r="BM7" s="51">
        <f t="shared" si="12"/>
        <v>266229.1</v>
      </c>
      <c r="BN7" s="51">
        <f t="shared" si="12"/>
        <v>273834.7</v>
      </c>
      <c r="BO7" s="51">
        <f t="shared" si="12"/>
        <v>268640.8</v>
      </c>
      <c r="BP7" s="51">
        <f t="shared" si="12"/>
        <v>270339.9</v>
      </c>
      <c r="BQ7" s="51">
        <f t="shared" si="12"/>
        <v>272131.4</v>
      </c>
      <c r="BR7" s="51">
        <f t="shared" si="12"/>
        <v>277077.8</v>
      </c>
      <c r="BS7" s="51">
        <f t="shared" si="12"/>
        <v>281841</v>
      </c>
      <c r="BT7" s="51">
        <f t="shared" si="12"/>
        <v>299142.6</v>
      </c>
      <c r="BU7" s="51">
        <f t="shared" si="12"/>
        <v>290246.1</v>
      </c>
      <c r="BV7" s="51">
        <f t="shared" si="12"/>
        <v>294597.57</v>
      </c>
      <c r="BW7" s="51">
        <f t="shared" si="12"/>
        <v>293582.39999999997</v>
      </c>
      <c r="BX7" s="51">
        <f t="shared" si="12"/>
        <v>297926.2</v>
      </c>
      <c r="BY7" s="51">
        <f t="shared" si="12"/>
        <v>306275.5</v>
      </c>
      <c r="BZ7" s="51">
        <f t="shared" si="12"/>
        <v>302421.1</v>
      </c>
      <c r="CA7" s="51">
        <f t="shared" si="12"/>
        <v>300994.80000000005</v>
      </c>
      <c r="CB7" s="51">
        <f t="shared" si="12"/>
        <v>296362.8</v>
      </c>
      <c r="CC7" s="51">
        <f t="shared" si="12"/>
        <v>298090.60000000003</v>
      </c>
      <c r="CD7" s="51">
        <f t="shared" si="12"/>
        <v>303627.5</v>
      </c>
      <c r="CE7" s="51">
        <f t="shared" si="12"/>
        <v>309343.8</v>
      </c>
      <c r="CF7" s="51">
        <f t="shared" si="12"/>
        <v>323482.1</v>
      </c>
      <c r="CG7" s="51">
        <f t="shared" si="12"/>
        <v>317877.30000000005</v>
      </c>
      <c r="CH7" s="51">
        <f t="shared" si="12"/>
        <v>322256.67000000004</v>
      </c>
      <c r="CI7" s="51">
        <f t="shared" si="12"/>
        <v>326781</v>
      </c>
      <c r="CJ7" s="51">
        <f t="shared" si="12"/>
        <v>326123.8</v>
      </c>
      <c r="CK7" s="51">
        <f t="shared" si="12"/>
        <v>337023.2</v>
      </c>
      <c r="CL7" s="51">
        <f t="shared" si="12"/>
        <v>336593.39999999997</v>
      </c>
      <c r="CM7" s="51">
        <f t="shared" si="12"/>
        <v>330993.89999999997</v>
      </c>
      <c r="CN7" s="51">
        <f t="shared" si="12"/>
        <v>333090.5</v>
      </c>
      <c r="CO7" s="51">
        <f t="shared" si="12"/>
        <v>328871.2</v>
      </c>
      <c r="CP7" s="51">
        <f t="shared" si="12"/>
        <v>337195.7</v>
      </c>
      <c r="CQ7" s="51">
        <f t="shared" si="12"/>
        <v>342564.6</v>
      </c>
      <c r="CR7" s="51">
        <f t="shared" si="12"/>
        <v>352996.8</v>
      </c>
    </row>
    <row r="8" spans="1:96" ht="16.5" customHeight="1" hidden="1">
      <c r="A8" s="187" t="s">
        <v>5</v>
      </c>
      <c r="B8" s="53">
        <f>7370.4+5320.8*B63</f>
        <v>20203.10544</v>
      </c>
      <c r="C8" s="54">
        <f>9122.8+6232.5*C63</f>
        <v>26499.63325</v>
      </c>
      <c r="D8" s="55">
        <f>10797.6+6638.3*D63</f>
        <v>33977.87977</v>
      </c>
      <c r="E8" s="56">
        <f>10714.3+7399.4*E63</f>
        <v>41138.412979999994</v>
      </c>
      <c r="F8" s="57">
        <f>12166.1+7684*F63</f>
        <v>42643.1492</v>
      </c>
      <c r="G8" s="58">
        <f>13877.9+7972.1*G63</f>
        <v>43192.10891</v>
      </c>
      <c r="H8" s="57">
        <f>24243.7+7677*H63</f>
        <v>50205.0109</v>
      </c>
      <c r="I8" s="57">
        <f>39918.3+27222.67</f>
        <v>67140.97</v>
      </c>
      <c r="J8" s="58">
        <f>59429+32513</f>
        <v>91942</v>
      </c>
      <c r="K8" s="58">
        <f>80290.2+46281.5</f>
        <v>126571.7</v>
      </c>
      <c r="L8" s="59">
        <v>167632.5</v>
      </c>
      <c r="M8" s="60">
        <v>164097.3</v>
      </c>
      <c r="N8" s="60">
        <v>166403.0065</v>
      </c>
      <c r="O8" s="59">
        <v>173059.185227</v>
      </c>
      <c r="P8" s="59">
        <v>169368.79232</v>
      </c>
      <c r="Q8" s="61">
        <v>174565.0508</v>
      </c>
      <c r="R8" s="62">
        <v>191348.63806</v>
      </c>
      <c r="S8" s="63">
        <v>182368.50723</v>
      </c>
      <c r="T8" s="59">
        <v>185380.22372</v>
      </c>
      <c r="U8" s="59">
        <v>189501.49607</v>
      </c>
      <c r="V8" s="61">
        <v>188684.53431</v>
      </c>
      <c r="W8" s="64">
        <v>191327.56624</v>
      </c>
      <c r="X8" s="60">
        <v>199284.6</v>
      </c>
      <c r="Y8" s="59">
        <v>196276.1</v>
      </c>
      <c r="Z8" s="65">
        <v>206478.8</v>
      </c>
      <c r="AA8" s="65">
        <v>211163.4</v>
      </c>
      <c r="AB8" s="65">
        <v>212311.1</v>
      </c>
      <c r="AC8" s="65">
        <v>212863.5</v>
      </c>
      <c r="AD8" s="65">
        <v>207204.5</v>
      </c>
      <c r="AE8" s="65">
        <v>211024.2</v>
      </c>
      <c r="AF8" s="65">
        <v>206211.1</v>
      </c>
      <c r="AG8" s="65">
        <v>209685.8</v>
      </c>
      <c r="AH8" s="65">
        <v>212617.9</v>
      </c>
      <c r="AI8" s="65">
        <v>214531.3</v>
      </c>
      <c r="AJ8" s="60">
        <v>213731</v>
      </c>
      <c r="AK8" s="59">
        <v>213807.4</v>
      </c>
      <c r="AL8" s="59">
        <v>222833.7</v>
      </c>
      <c r="AM8" s="59">
        <v>225078.03</v>
      </c>
      <c r="AN8" s="59">
        <v>225762.84</v>
      </c>
      <c r="AO8" s="60">
        <v>222026.3</v>
      </c>
      <c r="AP8" s="64">
        <v>225866.7</v>
      </c>
      <c r="AQ8" s="66">
        <v>224082.8</v>
      </c>
      <c r="AR8" s="66">
        <v>224881.8</v>
      </c>
      <c r="AS8" s="67">
        <v>232523.3</v>
      </c>
      <c r="AT8" s="67">
        <v>237446.7</v>
      </c>
      <c r="AU8" s="66">
        <v>232649</v>
      </c>
      <c r="AV8" s="60">
        <v>237972</v>
      </c>
      <c r="AW8" s="68">
        <v>241741.9</v>
      </c>
      <c r="AX8" s="68">
        <v>245144</v>
      </c>
      <c r="AY8" s="68">
        <v>240392</v>
      </c>
      <c r="AZ8" s="68">
        <v>247280</v>
      </c>
      <c r="BA8" s="69">
        <v>241319.6</v>
      </c>
      <c r="BB8" s="69">
        <v>242841.6</v>
      </c>
      <c r="BC8" s="69">
        <v>240617.93</v>
      </c>
      <c r="BD8" s="69">
        <v>240858.5</v>
      </c>
      <c r="BE8" s="69">
        <v>239331.5</v>
      </c>
      <c r="BF8" s="69">
        <v>246834.3</v>
      </c>
      <c r="BG8" s="69">
        <v>250623.2</v>
      </c>
      <c r="BH8" s="69">
        <v>265448.5</v>
      </c>
      <c r="BI8" s="69">
        <v>253083.55</v>
      </c>
      <c r="BJ8" s="69">
        <v>257157.2</v>
      </c>
      <c r="BK8" s="69">
        <v>255013.9</v>
      </c>
      <c r="BL8" s="69">
        <v>251129.6</v>
      </c>
      <c r="BM8" s="69">
        <v>251868</v>
      </c>
      <c r="BN8" s="69">
        <v>259293.1</v>
      </c>
      <c r="BO8" s="69">
        <v>254116</v>
      </c>
      <c r="BP8" s="69">
        <v>255540.2</v>
      </c>
      <c r="BQ8" s="69">
        <v>257186.7</v>
      </c>
      <c r="BR8" s="69">
        <v>261807.7</v>
      </c>
      <c r="BS8" s="69">
        <v>266338.1</v>
      </c>
      <c r="BT8" s="69">
        <v>283579.5</v>
      </c>
      <c r="BU8" s="69">
        <v>274659.1</v>
      </c>
      <c r="BV8" s="69">
        <v>279003.93</v>
      </c>
      <c r="BW8" s="69">
        <v>277755.1</v>
      </c>
      <c r="BX8" s="69">
        <v>281688.2</v>
      </c>
      <c r="BY8" s="69">
        <v>289635.5</v>
      </c>
      <c r="BZ8" s="69">
        <v>285648.1</v>
      </c>
      <c r="CA8" s="69">
        <v>284266.4</v>
      </c>
      <c r="CB8" s="69">
        <f>279639.3</f>
        <v>279639.3</v>
      </c>
      <c r="CC8" s="69">
        <v>281471.7</v>
      </c>
      <c r="CD8" s="69">
        <v>286722.6</v>
      </c>
      <c r="CE8" s="69">
        <v>292275.2</v>
      </c>
      <c r="CF8" s="69">
        <v>306440.5</v>
      </c>
      <c r="CG8" s="69">
        <v>301123.4</v>
      </c>
      <c r="CH8" s="69">
        <v>305486.53</v>
      </c>
      <c r="CI8" s="69">
        <v>309938</v>
      </c>
      <c r="CJ8" s="69">
        <v>309207</v>
      </c>
      <c r="CK8" s="69">
        <v>319527.9</v>
      </c>
      <c r="CL8" s="69">
        <v>318716.6</v>
      </c>
      <c r="CM8" s="69">
        <v>312972.6</v>
      </c>
      <c r="CN8" s="69">
        <v>314993</v>
      </c>
      <c r="CO8" s="69">
        <v>310690.3</v>
      </c>
      <c r="CP8" s="69">
        <v>319006.5</v>
      </c>
      <c r="CQ8" s="69">
        <v>324294.5</v>
      </c>
      <c r="CR8" s="69">
        <v>335529.7</v>
      </c>
    </row>
    <row r="9" spans="1:96" ht="16.5" customHeight="1" hidden="1">
      <c r="A9" s="187" t="s">
        <v>6</v>
      </c>
      <c r="B9" s="53">
        <f>82.5+2073.1*B63</f>
        <v>5082.40258</v>
      </c>
      <c r="C9" s="54">
        <f>62.6+2587.5*C63</f>
        <v>7276.80875</v>
      </c>
      <c r="D9" s="55">
        <f>963.6+2535.1*D63</f>
        <v>9815.91569</v>
      </c>
      <c r="E9" s="56">
        <f>795.8+2238.1*E63</f>
        <v>9998.195769999998</v>
      </c>
      <c r="F9" s="57">
        <f>2245.3+2586.5*F63</f>
        <v>12504.13495</v>
      </c>
      <c r="G9" s="58">
        <f>2250+2975.1*G63</f>
        <v>13189.74021</v>
      </c>
      <c r="H9" s="57">
        <f>1583.6+2389.3*H63</f>
        <v>9663.49581</v>
      </c>
      <c r="I9" s="57">
        <f>1956.1+7052.56</f>
        <v>9008.66</v>
      </c>
      <c r="J9" s="58">
        <f>2094.1+6520.3</f>
        <v>8614.4</v>
      </c>
      <c r="K9" s="58">
        <f>4059+5863.1</f>
        <v>9922.1</v>
      </c>
      <c r="L9" s="59">
        <v>14877.8</v>
      </c>
      <c r="M9" s="60">
        <v>14625.7</v>
      </c>
      <c r="N9" s="60">
        <v>15091.61</v>
      </c>
      <c r="O9" s="59">
        <v>14417.315433</v>
      </c>
      <c r="P9" s="59">
        <v>14638.79264</v>
      </c>
      <c r="Q9" s="61">
        <v>14556.42528</v>
      </c>
      <c r="R9" s="62">
        <v>11039.40656</v>
      </c>
      <c r="S9" s="63">
        <v>10586.12434</v>
      </c>
      <c r="T9" s="59">
        <v>10594.90516</v>
      </c>
      <c r="U9" s="59">
        <v>11132.99304</v>
      </c>
      <c r="V9" s="61">
        <v>10896.27502</v>
      </c>
      <c r="W9" s="64">
        <v>11128.06385</v>
      </c>
      <c r="X9" s="60">
        <v>11104</v>
      </c>
      <c r="Y9" s="59">
        <v>11235.8</v>
      </c>
      <c r="Z9" s="65">
        <v>11301.7</v>
      </c>
      <c r="AA9" s="65">
        <v>11460.7</v>
      </c>
      <c r="AB9" s="65">
        <v>11641.6</v>
      </c>
      <c r="AC9" s="65">
        <v>11885.7</v>
      </c>
      <c r="AD9" s="65">
        <v>11896.4</v>
      </c>
      <c r="AE9" s="65">
        <v>12430.4</v>
      </c>
      <c r="AF9" s="65">
        <v>12253.3</v>
      </c>
      <c r="AG9" s="65">
        <v>13118.7</v>
      </c>
      <c r="AH9" s="65">
        <v>12717.7</v>
      </c>
      <c r="AI9" s="65">
        <v>12770.7</v>
      </c>
      <c r="AJ9" s="60">
        <v>13110.9</v>
      </c>
      <c r="AK9" s="59">
        <v>13014.9</v>
      </c>
      <c r="AL9" s="59">
        <v>13108.4</v>
      </c>
      <c r="AM9" s="59">
        <v>13374.64</v>
      </c>
      <c r="AN9" s="59">
        <v>13223.8</v>
      </c>
      <c r="AO9" s="60">
        <v>13489.8</v>
      </c>
      <c r="AP9" s="64">
        <v>13850.1</v>
      </c>
      <c r="AQ9" s="65">
        <v>13798.9</v>
      </c>
      <c r="AR9" s="65">
        <v>14013.7</v>
      </c>
      <c r="AS9" s="59">
        <v>14022.6</v>
      </c>
      <c r="AT9" s="59">
        <v>14012.6</v>
      </c>
      <c r="AU9" s="65">
        <v>14090.2</v>
      </c>
      <c r="AV9" s="60">
        <v>14207.8</v>
      </c>
      <c r="AW9" s="60">
        <v>14245.3</v>
      </c>
      <c r="AX9" s="60">
        <v>14313.7</v>
      </c>
      <c r="AY9" s="60">
        <v>14153.9</v>
      </c>
      <c r="AZ9" s="60">
        <v>14262.1</v>
      </c>
      <c r="BA9" s="70">
        <v>14260.6</v>
      </c>
      <c r="BB9" s="70">
        <v>14219.1</v>
      </c>
      <c r="BC9" s="70">
        <v>14464.93</v>
      </c>
      <c r="BD9" s="70">
        <v>14585.1</v>
      </c>
      <c r="BE9" s="70">
        <v>14627.7</v>
      </c>
      <c r="BF9" s="70">
        <v>14884.3</v>
      </c>
      <c r="BG9" s="70">
        <v>15030.4</v>
      </c>
      <c r="BH9" s="70">
        <v>15315.3</v>
      </c>
      <c r="BI9" s="70">
        <v>15156.15</v>
      </c>
      <c r="BJ9" s="70">
        <v>15247.1</v>
      </c>
      <c r="BK9" s="70">
        <v>13921.2</v>
      </c>
      <c r="BL9" s="70">
        <v>14121.3</v>
      </c>
      <c r="BM9" s="70">
        <v>14361.1</v>
      </c>
      <c r="BN9" s="70">
        <v>14541.6</v>
      </c>
      <c r="BO9" s="70">
        <v>14524.8</v>
      </c>
      <c r="BP9" s="70">
        <v>14799.7</v>
      </c>
      <c r="BQ9" s="70">
        <v>14944.7</v>
      </c>
      <c r="BR9" s="70">
        <v>15270.1</v>
      </c>
      <c r="BS9" s="70">
        <v>15502.9</v>
      </c>
      <c r="BT9" s="70">
        <v>15563.1</v>
      </c>
      <c r="BU9" s="70">
        <v>15587</v>
      </c>
      <c r="BV9" s="70">
        <v>15593.64</v>
      </c>
      <c r="BW9" s="70">
        <v>15827.3</v>
      </c>
      <c r="BX9" s="70">
        <v>16238</v>
      </c>
      <c r="BY9" s="70">
        <v>16640</v>
      </c>
      <c r="BZ9" s="70">
        <v>16773</v>
      </c>
      <c r="CA9" s="70">
        <v>16728.4</v>
      </c>
      <c r="CB9" s="70">
        <v>16723.5</v>
      </c>
      <c r="CC9" s="70">
        <v>16618.9</v>
      </c>
      <c r="CD9" s="70">
        <v>16904.9</v>
      </c>
      <c r="CE9" s="70">
        <v>17068.6</v>
      </c>
      <c r="CF9" s="70">
        <v>17041.6</v>
      </c>
      <c r="CG9" s="70">
        <v>16753.9</v>
      </c>
      <c r="CH9" s="70">
        <v>16770.14</v>
      </c>
      <c r="CI9" s="70">
        <v>16843</v>
      </c>
      <c r="CJ9" s="70">
        <v>16916.8</v>
      </c>
      <c r="CK9" s="70">
        <v>17495.3</v>
      </c>
      <c r="CL9" s="70">
        <v>17876.8</v>
      </c>
      <c r="CM9" s="70">
        <v>18021.3</v>
      </c>
      <c r="CN9" s="70">
        <v>18097.5</v>
      </c>
      <c r="CO9" s="70">
        <v>18180.9</v>
      </c>
      <c r="CP9" s="70">
        <v>18189.2</v>
      </c>
      <c r="CQ9" s="70">
        <v>18270.1</v>
      </c>
      <c r="CR9" s="70">
        <v>17467.1</v>
      </c>
    </row>
    <row r="10" spans="1:96" ht="16.5" customHeight="1" hidden="1">
      <c r="A10" s="186" t="s">
        <v>7</v>
      </c>
      <c r="B10" s="71">
        <f aca="true" t="shared" si="13" ref="B10:AT10">SUM(B11:B13)</f>
        <v>25285.5</v>
      </c>
      <c r="C10" s="72">
        <f t="shared" si="13"/>
        <v>33776.4</v>
      </c>
      <c r="D10" s="71">
        <f t="shared" si="13"/>
        <v>43793.8</v>
      </c>
      <c r="E10" s="72">
        <f t="shared" si="13"/>
        <v>51136.6</v>
      </c>
      <c r="F10" s="72">
        <f t="shared" si="13"/>
        <v>55147.299999999996</v>
      </c>
      <c r="G10" s="72">
        <f t="shared" si="13"/>
        <v>56381.8</v>
      </c>
      <c r="H10" s="72">
        <f t="shared" si="13"/>
        <v>59868.5</v>
      </c>
      <c r="I10" s="72">
        <f t="shared" si="13"/>
        <v>76149.6</v>
      </c>
      <c r="J10" s="72">
        <f t="shared" si="13"/>
        <v>100556.4</v>
      </c>
      <c r="K10" s="72">
        <f t="shared" si="13"/>
        <v>136493.8</v>
      </c>
      <c r="L10" s="73">
        <f t="shared" si="13"/>
        <v>182510.3</v>
      </c>
      <c r="M10" s="72">
        <f t="shared" si="13"/>
        <v>178723.03448</v>
      </c>
      <c r="N10" s="72">
        <f t="shared" si="13"/>
        <v>181494.6165</v>
      </c>
      <c r="O10" s="73">
        <f t="shared" si="13"/>
        <v>187476.541801</v>
      </c>
      <c r="P10" s="72">
        <f t="shared" si="13"/>
        <v>184007.58496</v>
      </c>
      <c r="Q10" s="72">
        <f t="shared" si="13"/>
        <v>189121.47608</v>
      </c>
      <c r="R10" s="73">
        <f t="shared" si="13"/>
        <v>202388.04462</v>
      </c>
      <c r="S10" s="73">
        <f t="shared" si="13"/>
        <v>192954.63157</v>
      </c>
      <c r="T10" s="73">
        <f t="shared" si="13"/>
        <v>195975.12888</v>
      </c>
      <c r="U10" s="73">
        <f t="shared" si="13"/>
        <v>200634.5</v>
      </c>
      <c r="V10" s="72">
        <f t="shared" si="13"/>
        <v>199580.80933</v>
      </c>
      <c r="W10" s="73">
        <f t="shared" si="13"/>
        <v>201455.63009</v>
      </c>
      <c r="X10" s="72">
        <f t="shared" si="13"/>
        <v>210388.6</v>
      </c>
      <c r="Y10" s="72">
        <f t="shared" si="13"/>
        <v>207511.9</v>
      </c>
      <c r="Z10" s="72">
        <f t="shared" si="13"/>
        <v>217778.5</v>
      </c>
      <c r="AA10" s="72">
        <f t="shared" si="13"/>
        <v>222624.1</v>
      </c>
      <c r="AB10" s="72">
        <f t="shared" si="13"/>
        <v>223952.7</v>
      </c>
      <c r="AC10" s="72">
        <f t="shared" si="13"/>
        <v>224749.19999999998</v>
      </c>
      <c r="AD10" s="72">
        <f t="shared" si="13"/>
        <v>219100.90000000002</v>
      </c>
      <c r="AE10" s="72">
        <f t="shared" si="13"/>
        <v>223454.59999999998</v>
      </c>
      <c r="AF10" s="72">
        <f t="shared" si="13"/>
        <v>218464.4</v>
      </c>
      <c r="AG10" s="72">
        <f t="shared" si="13"/>
        <v>222804.6</v>
      </c>
      <c r="AH10" s="72">
        <f t="shared" si="13"/>
        <v>225335.58000000002</v>
      </c>
      <c r="AI10" s="72">
        <f t="shared" si="13"/>
        <v>227302</v>
      </c>
      <c r="AJ10" s="72">
        <f t="shared" si="13"/>
        <v>226841.89999999997</v>
      </c>
      <c r="AK10" s="73">
        <f t="shared" si="13"/>
        <v>226822.3</v>
      </c>
      <c r="AL10" s="73">
        <f t="shared" si="13"/>
        <v>235942.1</v>
      </c>
      <c r="AM10" s="73">
        <f t="shared" si="13"/>
        <v>238452.68</v>
      </c>
      <c r="AN10" s="73">
        <f t="shared" si="13"/>
        <v>238986.6</v>
      </c>
      <c r="AO10" s="72">
        <f t="shared" si="13"/>
        <v>235516.08000000002</v>
      </c>
      <c r="AP10" s="74">
        <f t="shared" si="13"/>
        <v>239716.8</v>
      </c>
      <c r="AQ10" s="75">
        <f t="shared" si="13"/>
        <v>237881.7</v>
      </c>
      <c r="AR10" s="75">
        <f t="shared" si="13"/>
        <v>238895.48</v>
      </c>
      <c r="AS10" s="73">
        <f t="shared" si="13"/>
        <v>246545.90000000002</v>
      </c>
      <c r="AT10" s="73">
        <f t="shared" si="13"/>
        <v>251459.3</v>
      </c>
      <c r="AU10" s="75">
        <v>246739.2</v>
      </c>
      <c r="AV10" s="72">
        <f aca="true" t="shared" si="14" ref="AV10:CM10">SUM(AV11:AV13)</f>
        <v>252179.75</v>
      </c>
      <c r="AW10" s="72">
        <f t="shared" si="14"/>
        <v>255987.19999999998</v>
      </c>
      <c r="AX10" s="72">
        <f t="shared" si="14"/>
        <v>259457.7</v>
      </c>
      <c r="AY10" s="72">
        <f t="shared" si="14"/>
        <v>254545.9</v>
      </c>
      <c r="AZ10" s="72">
        <f t="shared" si="14"/>
        <v>261542.09999999998</v>
      </c>
      <c r="BA10" s="76">
        <f t="shared" si="14"/>
        <v>255580.18000000002</v>
      </c>
      <c r="BB10" s="76">
        <f t="shared" si="14"/>
        <v>257060.7</v>
      </c>
      <c r="BC10" s="76">
        <f t="shared" si="14"/>
        <v>255082.9</v>
      </c>
      <c r="BD10" s="76">
        <f t="shared" si="14"/>
        <v>255443.58</v>
      </c>
      <c r="BE10" s="76">
        <f t="shared" si="14"/>
        <v>253959.2</v>
      </c>
      <c r="BF10" s="76">
        <f t="shared" si="14"/>
        <v>261718.6</v>
      </c>
      <c r="BG10" s="76">
        <f t="shared" si="14"/>
        <v>265653.6</v>
      </c>
      <c r="BH10" s="76">
        <f t="shared" si="14"/>
        <v>280763.8</v>
      </c>
      <c r="BI10" s="76">
        <f t="shared" si="14"/>
        <v>268239.7</v>
      </c>
      <c r="BJ10" s="76">
        <f t="shared" si="14"/>
        <v>272404.3</v>
      </c>
      <c r="BK10" s="76">
        <f t="shared" si="14"/>
        <v>268935.1</v>
      </c>
      <c r="BL10" s="76">
        <f t="shared" si="14"/>
        <v>265250.9</v>
      </c>
      <c r="BM10" s="76">
        <f t="shared" si="14"/>
        <v>266229.1</v>
      </c>
      <c r="BN10" s="76">
        <f t="shared" si="14"/>
        <v>273834.66</v>
      </c>
      <c r="BO10" s="76">
        <f t="shared" si="14"/>
        <v>268640.80000000005</v>
      </c>
      <c r="BP10" s="76">
        <f t="shared" si="14"/>
        <v>270339.9</v>
      </c>
      <c r="BQ10" s="76">
        <f t="shared" si="14"/>
        <v>272131.4</v>
      </c>
      <c r="BR10" s="76">
        <f t="shared" si="14"/>
        <v>277077.8</v>
      </c>
      <c r="BS10" s="76">
        <f t="shared" si="14"/>
        <v>281841</v>
      </c>
      <c r="BT10" s="76">
        <f t="shared" si="14"/>
        <v>299142.60000000003</v>
      </c>
      <c r="BU10" s="76">
        <f t="shared" si="14"/>
        <v>290246.1</v>
      </c>
      <c r="BV10" s="76">
        <f t="shared" si="14"/>
        <v>294597.60000000003</v>
      </c>
      <c r="BW10" s="76">
        <f t="shared" si="14"/>
        <v>293582.4</v>
      </c>
      <c r="BX10" s="76">
        <f t="shared" si="14"/>
        <v>297926.2</v>
      </c>
      <c r="BY10" s="76">
        <f t="shared" si="14"/>
        <v>306275.5</v>
      </c>
      <c r="BZ10" s="76">
        <f t="shared" si="14"/>
        <v>302421.1</v>
      </c>
      <c r="CA10" s="76">
        <f t="shared" si="14"/>
        <v>300994.8</v>
      </c>
      <c r="CB10" s="76">
        <f t="shared" si="14"/>
        <v>296362.8</v>
      </c>
      <c r="CC10" s="76">
        <f t="shared" si="14"/>
        <v>298090.6</v>
      </c>
      <c r="CD10" s="76">
        <f t="shared" si="14"/>
        <v>303627.5</v>
      </c>
      <c r="CE10" s="76">
        <f t="shared" si="14"/>
        <v>309343.8</v>
      </c>
      <c r="CF10" s="76">
        <f t="shared" si="14"/>
        <v>323482.1</v>
      </c>
      <c r="CG10" s="76">
        <f t="shared" si="14"/>
        <v>317877.3</v>
      </c>
      <c r="CH10" s="76">
        <f t="shared" si="14"/>
        <v>322256.7</v>
      </c>
      <c r="CI10" s="76">
        <f t="shared" si="14"/>
        <v>326781</v>
      </c>
      <c r="CJ10" s="76">
        <f t="shared" si="14"/>
        <v>326123.8</v>
      </c>
      <c r="CK10" s="76">
        <f t="shared" si="14"/>
        <v>337023.2</v>
      </c>
      <c r="CL10" s="76">
        <f t="shared" si="14"/>
        <v>336593.4</v>
      </c>
      <c r="CM10" s="76">
        <f t="shared" si="14"/>
        <v>330993.9</v>
      </c>
      <c r="CN10" s="76">
        <f>SUM(CN11:CN13)</f>
        <v>333090.5</v>
      </c>
      <c r="CO10" s="76">
        <f>SUM(CO11:CO13)</f>
        <v>328871.19999999995</v>
      </c>
      <c r="CP10" s="76">
        <f>SUM(CP11:CP13)</f>
        <v>337195.7</v>
      </c>
      <c r="CQ10" s="76">
        <f>SUM(CQ11:CQ13)</f>
        <v>342564.6</v>
      </c>
      <c r="CR10" s="76">
        <f>SUM(CR11:CR13)</f>
        <v>352996.8</v>
      </c>
    </row>
    <row r="11" spans="1:96" ht="16.5" customHeight="1" hidden="1">
      <c r="A11" s="187" t="s">
        <v>8</v>
      </c>
      <c r="B11" s="53">
        <v>8783.5</v>
      </c>
      <c r="C11" s="54">
        <v>11705.8</v>
      </c>
      <c r="D11" s="55">
        <v>14921.6</v>
      </c>
      <c r="E11" s="56">
        <v>17372.3</v>
      </c>
      <c r="F11" s="57">
        <v>16851.6</v>
      </c>
      <c r="G11" s="58">
        <v>17779.9</v>
      </c>
      <c r="H11" s="57">
        <v>15774.3</v>
      </c>
      <c r="I11" s="57">
        <v>16207.6</v>
      </c>
      <c r="J11" s="58">
        <v>20533.5</v>
      </c>
      <c r="K11" s="58">
        <v>34634.1</v>
      </c>
      <c r="L11" s="59">
        <v>52719.3</v>
      </c>
      <c r="M11" s="60">
        <v>52058.7015</v>
      </c>
      <c r="N11" s="60">
        <v>51342.915</v>
      </c>
      <c r="O11" s="59">
        <v>54745.91729</v>
      </c>
      <c r="P11" s="59">
        <v>53653.32896</v>
      </c>
      <c r="Q11" s="61">
        <v>54500.46456</v>
      </c>
      <c r="R11" s="62">
        <v>57926.7221</v>
      </c>
      <c r="S11" s="63">
        <v>58241.36856</v>
      </c>
      <c r="T11" s="59">
        <v>57800.84184</v>
      </c>
      <c r="U11" s="59">
        <v>60285.8</v>
      </c>
      <c r="V11" s="61">
        <v>59739.77207</v>
      </c>
      <c r="W11" s="64">
        <v>60942.40908</v>
      </c>
      <c r="X11" s="60">
        <v>63551.4</v>
      </c>
      <c r="Y11" s="59">
        <v>63759.6</v>
      </c>
      <c r="Z11" s="65">
        <v>63210.8</v>
      </c>
      <c r="AA11" s="65">
        <v>63501.3</v>
      </c>
      <c r="AB11" s="65">
        <v>63785.5</v>
      </c>
      <c r="AC11" s="65">
        <v>65747.4</v>
      </c>
      <c r="AD11" s="65">
        <v>66066.9</v>
      </c>
      <c r="AE11" s="65">
        <v>68159</v>
      </c>
      <c r="AF11" s="65">
        <v>65938.6</v>
      </c>
      <c r="AG11" s="65">
        <v>66701.4</v>
      </c>
      <c r="AH11" s="65">
        <v>66735.24</v>
      </c>
      <c r="AI11" s="65">
        <v>66895.5</v>
      </c>
      <c r="AJ11" s="60">
        <v>65786.4</v>
      </c>
      <c r="AK11" s="59">
        <v>64322</v>
      </c>
      <c r="AL11" s="59">
        <v>64262.7</v>
      </c>
      <c r="AM11" s="59">
        <v>64413.6</v>
      </c>
      <c r="AN11" s="59">
        <v>62899.5</v>
      </c>
      <c r="AO11" s="60">
        <v>62895.64</v>
      </c>
      <c r="AP11" s="64">
        <v>63986.9</v>
      </c>
      <c r="AQ11" s="65">
        <v>62932.7</v>
      </c>
      <c r="AR11" s="65">
        <v>64054.4</v>
      </c>
      <c r="AS11" s="59">
        <v>63505.4</v>
      </c>
      <c r="AT11" s="59">
        <v>66173.2</v>
      </c>
      <c r="AU11" s="65">
        <v>65419.3</v>
      </c>
      <c r="AV11" s="60">
        <v>65415.4</v>
      </c>
      <c r="AW11" s="60">
        <v>65667.4</v>
      </c>
      <c r="AX11" s="60">
        <v>64661</v>
      </c>
      <c r="AY11" s="60">
        <v>63261.7</v>
      </c>
      <c r="AZ11" s="60">
        <v>62967.7</v>
      </c>
      <c r="BA11" s="70">
        <v>61648.14</v>
      </c>
      <c r="BB11" s="70">
        <v>62094.9</v>
      </c>
      <c r="BC11" s="70">
        <v>62547.7</v>
      </c>
      <c r="BD11" s="70">
        <v>61600.34</v>
      </c>
      <c r="BE11" s="70">
        <v>60965.5</v>
      </c>
      <c r="BF11" s="70">
        <v>60861.5</v>
      </c>
      <c r="BG11" s="70">
        <v>60026.8</v>
      </c>
      <c r="BH11" s="70">
        <v>60926.1</v>
      </c>
      <c r="BI11" s="70">
        <v>53950.7</v>
      </c>
      <c r="BJ11" s="70">
        <v>53033.5</v>
      </c>
      <c r="BK11" s="70">
        <v>51331</v>
      </c>
      <c r="BL11" s="70">
        <v>50947</v>
      </c>
      <c r="BM11" s="70">
        <v>51077.3</v>
      </c>
      <c r="BN11" s="70">
        <v>54418.33</v>
      </c>
      <c r="BO11" s="70">
        <v>53967.3</v>
      </c>
      <c r="BP11" s="70">
        <v>53937.3</v>
      </c>
      <c r="BQ11" s="70">
        <v>53478.3</v>
      </c>
      <c r="BR11" s="70">
        <v>53572.4</v>
      </c>
      <c r="BS11" s="70">
        <v>53627.7</v>
      </c>
      <c r="BT11" s="70">
        <v>55094.5</v>
      </c>
      <c r="BU11" s="70">
        <v>55098.5</v>
      </c>
      <c r="BV11" s="70">
        <v>54216.8</v>
      </c>
      <c r="BW11" s="70">
        <v>53836.8</v>
      </c>
      <c r="BX11" s="70">
        <v>53665.2</v>
      </c>
      <c r="BY11" s="70">
        <v>53853.8</v>
      </c>
      <c r="BZ11" s="70">
        <v>53893.9</v>
      </c>
      <c r="CA11" s="70">
        <v>53054.8</v>
      </c>
      <c r="CB11" s="70">
        <v>52637.7</v>
      </c>
      <c r="CC11" s="70">
        <v>52378.2</v>
      </c>
      <c r="CD11" s="70">
        <v>52779.8</v>
      </c>
      <c r="CE11" s="70">
        <v>52635</v>
      </c>
      <c r="CF11" s="70">
        <v>52539.1</v>
      </c>
      <c r="CG11" s="70">
        <v>52013</v>
      </c>
      <c r="CH11" s="70">
        <v>51975.1</v>
      </c>
      <c r="CI11" s="70">
        <v>52171.1</v>
      </c>
      <c r="CJ11" s="70">
        <v>51666</v>
      </c>
      <c r="CK11" s="70">
        <v>51779</v>
      </c>
      <c r="CL11" s="70">
        <v>51205.4</v>
      </c>
      <c r="CM11" s="70">
        <v>51073.9</v>
      </c>
      <c r="CN11" s="70">
        <v>53375.8</v>
      </c>
      <c r="CO11" s="70">
        <v>48088.6</v>
      </c>
      <c r="CP11" s="70">
        <v>47866.7</v>
      </c>
      <c r="CQ11" s="70">
        <v>48084.8</v>
      </c>
      <c r="CR11" s="70">
        <v>47801.5</v>
      </c>
    </row>
    <row r="12" spans="1:96" ht="16.5" customHeight="1" hidden="1">
      <c r="A12" s="187" t="s">
        <v>9</v>
      </c>
      <c r="B12" s="53">
        <v>2314.4</v>
      </c>
      <c r="C12" s="54">
        <v>2745.2</v>
      </c>
      <c r="D12" s="55">
        <v>3078.8</v>
      </c>
      <c r="E12" s="56">
        <v>2566.5</v>
      </c>
      <c r="F12" s="57">
        <v>1968.5</v>
      </c>
      <c r="G12" s="58">
        <v>1209.4</v>
      </c>
      <c r="H12" s="57">
        <v>655.4</v>
      </c>
      <c r="I12" s="57">
        <v>374</v>
      </c>
      <c r="J12" s="58">
        <v>312.9</v>
      </c>
      <c r="K12" s="58">
        <v>272.4</v>
      </c>
      <c r="L12" s="59">
        <v>287.1</v>
      </c>
      <c r="M12" s="60">
        <v>285.0783</v>
      </c>
      <c r="N12" s="60">
        <v>279.4545</v>
      </c>
      <c r="O12" s="59">
        <v>267.00509</v>
      </c>
      <c r="P12" s="59">
        <v>261.57648</v>
      </c>
      <c r="Q12" s="61">
        <v>273.62112</v>
      </c>
      <c r="R12" s="62">
        <v>284.10811</v>
      </c>
      <c r="S12" s="63">
        <v>224.7359</v>
      </c>
      <c r="T12" s="59">
        <v>221.697</v>
      </c>
      <c r="U12" s="59">
        <v>231.6</v>
      </c>
      <c r="V12" s="61">
        <v>226.59332</v>
      </c>
      <c r="W12" s="64">
        <v>185.91153</v>
      </c>
      <c r="X12" s="60">
        <v>203.8</v>
      </c>
      <c r="Y12" s="59">
        <v>208.9</v>
      </c>
      <c r="Z12" s="65">
        <v>200.9</v>
      </c>
      <c r="AA12" s="65">
        <v>202.8</v>
      </c>
      <c r="AB12" s="65">
        <v>204.5</v>
      </c>
      <c r="AC12" s="65">
        <v>213.4</v>
      </c>
      <c r="AD12" s="65">
        <v>215.8</v>
      </c>
      <c r="AE12" s="65">
        <v>219.3</v>
      </c>
      <c r="AF12" s="65">
        <v>206.9</v>
      </c>
      <c r="AG12" s="65">
        <v>208.1</v>
      </c>
      <c r="AH12" s="65">
        <v>206.84</v>
      </c>
      <c r="AI12" s="65">
        <v>199.6</v>
      </c>
      <c r="AJ12" s="60">
        <v>193.2</v>
      </c>
      <c r="AK12" s="59">
        <v>188</v>
      </c>
      <c r="AL12" s="59">
        <v>185.2</v>
      </c>
      <c r="AM12" s="59">
        <v>194.74</v>
      </c>
      <c r="AN12" s="59">
        <v>207.5</v>
      </c>
      <c r="AO12" s="60">
        <v>206.74</v>
      </c>
      <c r="AP12" s="64">
        <v>210.5</v>
      </c>
      <c r="AQ12" s="65">
        <v>207</v>
      </c>
      <c r="AR12" s="65">
        <v>204.54</v>
      </c>
      <c r="AS12" s="59">
        <v>205.15</v>
      </c>
      <c r="AT12" s="59">
        <v>202.9</v>
      </c>
      <c r="AU12" s="65">
        <v>194.1</v>
      </c>
      <c r="AV12" s="60">
        <v>195.05</v>
      </c>
      <c r="AW12" s="60">
        <v>197.9</v>
      </c>
      <c r="AX12" s="60">
        <v>193</v>
      </c>
      <c r="AY12" s="60">
        <v>190.7</v>
      </c>
      <c r="AZ12" s="60">
        <v>190.5</v>
      </c>
      <c r="BA12" s="70">
        <v>186.9</v>
      </c>
      <c r="BB12" s="70">
        <v>185.6</v>
      </c>
      <c r="BC12" s="70">
        <v>187.8</v>
      </c>
      <c r="BD12" s="70">
        <v>184</v>
      </c>
      <c r="BE12" s="70">
        <v>185.3</v>
      </c>
      <c r="BF12" s="70">
        <v>181.9</v>
      </c>
      <c r="BG12" s="70">
        <v>189.4</v>
      </c>
      <c r="BH12" s="70">
        <v>184.2</v>
      </c>
      <c r="BI12" s="70">
        <v>184.4</v>
      </c>
      <c r="BJ12" s="70">
        <v>180.6</v>
      </c>
      <c r="BK12" s="70">
        <v>182.6</v>
      </c>
      <c r="BL12" s="70">
        <v>180.8</v>
      </c>
      <c r="BM12" s="70">
        <v>178</v>
      </c>
      <c r="BN12" s="70">
        <v>178</v>
      </c>
      <c r="BO12" s="70">
        <v>175.8</v>
      </c>
      <c r="BP12" s="70">
        <v>172.9</v>
      </c>
      <c r="BQ12" s="70">
        <v>172.7</v>
      </c>
      <c r="BR12" s="70">
        <v>170.7</v>
      </c>
      <c r="BS12" s="70">
        <v>169.8</v>
      </c>
      <c r="BT12" s="70">
        <v>171.9</v>
      </c>
      <c r="BU12" s="70">
        <v>172.3</v>
      </c>
      <c r="BV12" s="70">
        <v>171.6</v>
      </c>
      <c r="BW12" s="70">
        <v>169.6</v>
      </c>
      <c r="BX12" s="70">
        <v>171</v>
      </c>
      <c r="BY12" s="70">
        <v>169.6</v>
      </c>
      <c r="BZ12" s="70">
        <v>171.8</v>
      </c>
      <c r="CA12" s="70">
        <v>169.2</v>
      </c>
      <c r="CB12" s="70">
        <v>168.8</v>
      </c>
      <c r="CC12" s="70">
        <v>169.2</v>
      </c>
      <c r="CD12" s="70">
        <v>171.2</v>
      </c>
      <c r="CE12" s="70">
        <v>168.5</v>
      </c>
      <c r="CF12" s="70">
        <v>166.7</v>
      </c>
      <c r="CG12" s="70">
        <v>165.3</v>
      </c>
      <c r="CH12" s="70">
        <v>169.4</v>
      </c>
      <c r="CI12" s="70">
        <v>156.1</v>
      </c>
      <c r="CJ12" s="70">
        <v>154.1</v>
      </c>
      <c r="CK12" s="70">
        <v>151.7</v>
      </c>
      <c r="CL12" s="70">
        <v>149.8</v>
      </c>
      <c r="CM12" s="70">
        <v>148.1</v>
      </c>
      <c r="CN12" s="70">
        <v>148.7</v>
      </c>
      <c r="CO12" s="70">
        <v>149</v>
      </c>
      <c r="CP12" s="70">
        <v>149.5</v>
      </c>
      <c r="CQ12" s="70">
        <v>147.2</v>
      </c>
      <c r="CR12" s="70">
        <v>146.8</v>
      </c>
    </row>
    <row r="13" spans="1:96" ht="21.75" customHeight="1" hidden="1">
      <c r="A13" s="187" t="s">
        <v>10</v>
      </c>
      <c r="B13" s="77">
        <v>14187.6</v>
      </c>
      <c r="C13" s="78">
        <v>19325.4</v>
      </c>
      <c r="D13" s="77">
        <v>25793.4</v>
      </c>
      <c r="E13" s="78">
        <v>31197.8</v>
      </c>
      <c r="F13" s="78">
        <v>36327.2</v>
      </c>
      <c r="G13" s="78">
        <v>37392.5</v>
      </c>
      <c r="H13" s="78">
        <v>43438.8</v>
      </c>
      <c r="I13" s="78">
        <v>59568</v>
      </c>
      <c r="J13" s="78">
        <v>79710</v>
      </c>
      <c r="K13" s="78">
        <v>101587.3</v>
      </c>
      <c r="L13" s="59">
        <v>129503.9</v>
      </c>
      <c r="M13" s="60">
        <v>126379.25468</v>
      </c>
      <c r="N13" s="60">
        <v>129872.247</v>
      </c>
      <c r="O13" s="59">
        <v>132463.619421</v>
      </c>
      <c r="P13" s="59">
        <v>130092.67952</v>
      </c>
      <c r="Q13" s="61">
        <v>134347.3904</v>
      </c>
      <c r="R13" s="62">
        <v>144177.21441</v>
      </c>
      <c r="S13" s="63">
        <v>134488.52711</v>
      </c>
      <c r="T13" s="59">
        <v>137952.59004</v>
      </c>
      <c r="U13" s="59">
        <v>140117.1</v>
      </c>
      <c r="V13" s="61">
        <v>139614.44394</v>
      </c>
      <c r="W13" s="64">
        <v>140327.30948</v>
      </c>
      <c r="X13" s="60">
        <v>146633.4</v>
      </c>
      <c r="Y13" s="59">
        <v>143543.4</v>
      </c>
      <c r="Z13" s="65">
        <v>154366.8</v>
      </c>
      <c r="AA13" s="65">
        <v>158920</v>
      </c>
      <c r="AB13" s="65">
        <v>159962.7</v>
      </c>
      <c r="AC13" s="65">
        <v>158788.4</v>
      </c>
      <c r="AD13" s="65">
        <v>152818.2</v>
      </c>
      <c r="AE13" s="65">
        <v>155076.3</v>
      </c>
      <c r="AF13" s="65">
        <v>152318.9</v>
      </c>
      <c r="AG13" s="65">
        <v>155895.1</v>
      </c>
      <c r="AH13" s="65">
        <v>158393.5</v>
      </c>
      <c r="AI13" s="65">
        <v>160206.9</v>
      </c>
      <c r="AJ13" s="60">
        <v>160862.3</v>
      </c>
      <c r="AK13" s="59">
        <v>162312.3</v>
      </c>
      <c r="AL13" s="59">
        <v>171494.2</v>
      </c>
      <c r="AM13" s="59">
        <v>173844.34</v>
      </c>
      <c r="AN13" s="59">
        <v>175879.6</v>
      </c>
      <c r="AO13" s="60">
        <v>172413.7</v>
      </c>
      <c r="AP13" s="64">
        <v>175519.4</v>
      </c>
      <c r="AQ13" s="79">
        <v>174742</v>
      </c>
      <c r="AR13" s="79">
        <v>174636.54</v>
      </c>
      <c r="AS13" s="80">
        <v>182835.35</v>
      </c>
      <c r="AT13" s="80">
        <v>185083.2</v>
      </c>
      <c r="AU13" s="79">
        <v>181125.8</v>
      </c>
      <c r="AV13" s="60">
        <v>186569.3</v>
      </c>
      <c r="AW13" s="81">
        <v>190121.9</v>
      </c>
      <c r="AX13" s="81">
        <v>194603.7</v>
      </c>
      <c r="AY13" s="81">
        <v>191093.5</v>
      </c>
      <c r="AZ13" s="81">
        <v>198383.9</v>
      </c>
      <c r="BA13" s="82">
        <v>193745.14</v>
      </c>
      <c r="BB13" s="82">
        <v>194780.2</v>
      </c>
      <c r="BC13" s="82">
        <v>192347.4</v>
      </c>
      <c r="BD13" s="82">
        <v>193659.24</v>
      </c>
      <c r="BE13" s="82">
        <v>192808.4</v>
      </c>
      <c r="BF13" s="82">
        <v>200675.2</v>
      </c>
      <c r="BG13" s="82">
        <v>205437.4</v>
      </c>
      <c r="BH13" s="82">
        <v>219653.5</v>
      </c>
      <c r="BI13" s="82">
        <v>214104.6</v>
      </c>
      <c r="BJ13" s="82">
        <v>219190.2</v>
      </c>
      <c r="BK13" s="82">
        <v>217421.5</v>
      </c>
      <c r="BL13" s="82">
        <v>214123.1</v>
      </c>
      <c r="BM13" s="82">
        <v>214973.8</v>
      </c>
      <c r="BN13" s="82">
        <v>219238.33</v>
      </c>
      <c r="BO13" s="82">
        <v>214497.7</v>
      </c>
      <c r="BP13" s="82">
        <v>216229.7</v>
      </c>
      <c r="BQ13" s="82">
        <v>218480.4</v>
      </c>
      <c r="BR13" s="82">
        <v>223334.7</v>
      </c>
      <c r="BS13" s="82">
        <v>228043.5</v>
      </c>
      <c r="BT13" s="82">
        <v>243876.2</v>
      </c>
      <c r="BU13" s="82">
        <v>234975.3</v>
      </c>
      <c r="BV13" s="82">
        <v>240209.2</v>
      </c>
      <c r="BW13" s="82">
        <v>239576</v>
      </c>
      <c r="BX13" s="82">
        <v>244090</v>
      </c>
      <c r="BY13" s="82">
        <v>252252.1</v>
      </c>
      <c r="BZ13" s="82">
        <v>248355.4</v>
      </c>
      <c r="CA13" s="82">
        <v>247770.8</v>
      </c>
      <c r="CB13" s="82">
        <v>243556.3</v>
      </c>
      <c r="CC13" s="82">
        <v>245543.2</v>
      </c>
      <c r="CD13" s="82">
        <v>250676.5</v>
      </c>
      <c r="CE13" s="82">
        <v>256540.3</v>
      </c>
      <c r="CF13" s="82">
        <v>270776.3</v>
      </c>
      <c r="CG13" s="82">
        <v>265699</v>
      </c>
      <c r="CH13" s="82">
        <v>270112.2</v>
      </c>
      <c r="CI13" s="82">
        <v>274453.8</v>
      </c>
      <c r="CJ13" s="82">
        <v>274303.7</v>
      </c>
      <c r="CK13" s="82">
        <v>285092.5</v>
      </c>
      <c r="CL13" s="82">
        <v>285238.2</v>
      </c>
      <c r="CM13" s="82">
        <v>279771.9</v>
      </c>
      <c r="CN13" s="82">
        <v>279566</v>
      </c>
      <c r="CO13" s="82">
        <v>280633.6</v>
      </c>
      <c r="CP13" s="82">
        <v>289179.5</v>
      </c>
      <c r="CQ13" s="82">
        <v>294332.6</v>
      </c>
      <c r="CR13" s="82">
        <v>305048.5</v>
      </c>
    </row>
    <row r="14" spans="1:96" ht="16.5" customHeight="1">
      <c r="A14" s="188" t="s">
        <v>58</v>
      </c>
      <c r="B14" s="71">
        <f aca="true" t="shared" si="15" ref="B14:AT14">SUM(B15:B21)</f>
        <v>25285.5</v>
      </c>
      <c r="C14" s="72">
        <f t="shared" si="15"/>
        <v>33776.4</v>
      </c>
      <c r="D14" s="71">
        <f t="shared" si="15"/>
        <v>43793.8</v>
      </c>
      <c r="E14" s="72">
        <f t="shared" si="15"/>
        <v>51136.600000000006</v>
      </c>
      <c r="F14" s="72">
        <f t="shared" si="15"/>
        <v>55147.299999999996</v>
      </c>
      <c r="G14" s="72">
        <f t="shared" si="15"/>
        <v>56381.799999999996</v>
      </c>
      <c r="H14" s="72">
        <f t="shared" si="15"/>
        <v>59868.5</v>
      </c>
      <c r="I14" s="72">
        <f t="shared" si="15"/>
        <v>76149.59999999999</v>
      </c>
      <c r="J14" s="85">
        <f t="shared" si="15"/>
        <v>100556.4</v>
      </c>
      <c r="K14" s="85">
        <f t="shared" si="15"/>
        <v>136493.8</v>
      </c>
      <c r="L14" s="84">
        <f t="shared" si="15"/>
        <v>182510.30000000002</v>
      </c>
      <c r="M14" s="85">
        <f t="shared" si="15"/>
        <v>178723</v>
      </c>
      <c r="N14" s="85">
        <f t="shared" si="15"/>
        <v>181494.61649999997</v>
      </c>
      <c r="O14" s="84">
        <f t="shared" si="15"/>
        <v>187476.541801</v>
      </c>
      <c r="P14" s="85">
        <f t="shared" si="15"/>
        <v>184007.58495999998</v>
      </c>
      <c r="Q14" s="85">
        <f t="shared" si="15"/>
        <v>189121.47608</v>
      </c>
      <c r="R14" s="84">
        <f t="shared" si="15"/>
        <v>202388.04461999997</v>
      </c>
      <c r="S14" s="84">
        <f t="shared" si="15"/>
        <v>192954.63157</v>
      </c>
      <c r="T14" s="84">
        <f t="shared" si="15"/>
        <v>195975.12888</v>
      </c>
      <c r="U14" s="84">
        <f t="shared" si="15"/>
        <v>200634.5</v>
      </c>
      <c r="V14" s="85">
        <f t="shared" si="15"/>
        <v>199580.785</v>
      </c>
      <c r="W14" s="84">
        <f t="shared" si="15"/>
        <v>201455.63009</v>
      </c>
      <c r="X14" s="85">
        <f t="shared" si="15"/>
        <v>210388.58</v>
      </c>
      <c r="Y14" s="85">
        <f t="shared" si="15"/>
        <v>207511.9</v>
      </c>
      <c r="Z14" s="85">
        <f t="shared" si="15"/>
        <v>217778.5</v>
      </c>
      <c r="AA14" s="85">
        <f t="shared" si="15"/>
        <v>222624.1</v>
      </c>
      <c r="AB14" s="85">
        <f t="shared" si="15"/>
        <v>223952.7</v>
      </c>
      <c r="AC14" s="85">
        <f t="shared" si="15"/>
        <v>224749.2</v>
      </c>
      <c r="AD14" s="85">
        <f t="shared" si="15"/>
        <v>219100.89999999997</v>
      </c>
      <c r="AE14" s="85">
        <f t="shared" si="15"/>
        <v>223454.60000000003</v>
      </c>
      <c r="AF14" s="85">
        <f t="shared" si="15"/>
        <v>218464.4</v>
      </c>
      <c r="AG14" s="85">
        <f t="shared" si="15"/>
        <v>222804.50000000003</v>
      </c>
      <c r="AH14" s="85">
        <f t="shared" si="15"/>
        <v>225335.6</v>
      </c>
      <c r="AI14" s="85">
        <f t="shared" si="15"/>
        <v>227301.99999999997</v>
      </c>
      <c r="AJ14" s="85">
        <f t="shared" si="15"/>
        <v>226841.9</v>
      </c>
      <c r="AK14" s="84">
        <f t="shared" si="15"/>
        <v>228822.3</v>
      </c>
      <c r="AL14" s="84">
        <f t="shared" si="15"/>
        <v>235942.09999999998</v>
      </c>
      <c r="AM14" s="84">
        <f t="shared" si="15"/>
        <v>238452.69999999998</v>
      </c>
      <c r="AN14" s="84">
        <f t="shared" si="15"/>
        <v>238986.58</v>
      </c>
      <c r="AO14" s="85">
        <f t="shared" si="15"/>
        <v>235516.1</v>
      </c>
      <c r="AP14" s="86">
        <f t="shared" si="15"/>
        <v>239716.80000000002</v>
      </c>
      <c r="AQ14" s="87">
        <f t="shared" si="15"/>
        <v>237881.69999999998</v>
      </c>
      <c r="AR14" s="87">
        <f t="shared" si="15"/>
        <v>238895.5</v>
      </c>
      <c r="AS14" s="84">
        <f t="shared" si="15"/>
        <v>246545.9</v>
      </c>
      <c r="AT14" s="84">
        <f t="shared" si="15"/>
        <v>251459.3</v>
      </c>
      <c r="AU14" s="87">
        <v>246739.2</v>
      </c>
      <c r="AV14" s="85">
        <f aca="true" t="shared" si="16" ref="AV14:CR14">SUM(AV15:AV21)</f>
        <v>252179.8</v>
      </c>
      <c r="AW14" s="85">
        <f t="shared" si="16"/>
        <v>255987.2</v>
      </c>
      <c r="AX14" s="85">
        <f t="shared" si="16"/>
        <v>259457.7</v>
      </c>
      <c r="AY14" s="85">
        <f t="shared" si="16"/>
        <v>254545.9</v>
      </c>
      <c r="AZ14" s="85">
        <f t="shared" si="16"/>
        <v>261542.1</v>
      </c>
      <c r="BA14" s="88">
        <f t="shared" si="16"/>
        <v>255580.2</v>
      </c>
      <c r="BB14" s="88">
        <f t="shared" si="16"/>
        <v>257060.7</v>
      </c>
      <c r="BC14" s="88">
        <f t="shared" si="16"/>
        <v>255082.85</v>
      </c>
      <c r="BD14" s="88">
        <f t="shared" si="16"/>
        <v>255443.58000000002</v>
      </c>
      <c r="BE14" s="88">
        <f t="shared" si="16"/>
        <v>253959.2</v>
      </c>
      <c r="BF14" s="88">
        <f t="shared" si="16"/>
        <v>261718.57</v>
      </c>
      <c r="BG14" s="88">
        <f t="shared" si="16"/>
        <v>265653.6</v>
      </c>
      <c r="BH14" s="88">
        <f t="shared" si="16"/>
        <v>280763.8</v>
      </c>
      <c r="BI14" s="88">
        <f t="shared" si="16"/>
        <v>268239.7</v>
      </c>
      <c r="BJ14" s="88">
        <f t="shared" si="16"/>
        <v>272404.30000000005</v>
      </c>
      <c r="BK14" s="88">
        <f t="shared" si="16"/>
        <v>268935.1</v>
      </c>
      <c r="BL14" s="88">
        <f t="shared" si="16"/>
        <v>265250.9</v>
      </c>
      <c r="BM14" s="88">
        <f t="shared" si="16"/>
        <v>266229.1</v>
      </c>
      <c r="BN14" s="88">
        <f t="shared" si="16"/>
        <v>273834.7</v>
      </c>
      <c r="BO14" s="88">
        <f t="shared" si="16"/>
        <v>268640.8</v>
      </c>
      <c r="BP14" s="88">
        <f t="shared" si="16"/>
        <v>270339.89999999997</v>
      </c>
      <c r="BQ14" s="88">
        <f t="shared" si="16"/>
        <v>272131.39999999997</v>
      </c>
      <c r="BR14" s="88">
        <f t="shared" si="16"/>
        <v>277077.80000000005</v>
      </c>
      <c r="BS14" s="88">
        <f t="shared" si="16"/>
        <v>281841</v>
      </c>
      <c r="BT14" s="88">
        <f t="shared" si="16"/>
        <v>299142.60000000003</v>
      </c>
      <c r="BU14" s="88">
        <f t="shared" si="16"/>
        <v>290246.1</v>
      </c>
      <c r="BV14" s="88">
        <f t="shared" si="16"/>
        <v>294597.6</v>
      </c>
      <c r="BW14" s="88">
        <f t="shared" si="16"/>
        <v>293582.4</v>
      </c>
      <c r="BX14" s="88">
        <f t="shared" si="16"/>
        <v>297926.19999999995</v>
      </c>
      <c r="BY14" s="88">
        <f t="shared" si="16"/>
        <v>306275.48</v>
      </c>
      <c r="BZ14" s="88">
        <f t="shared" si="16"/>
        <v>302421.10000000003</v>
      </c>
      <c r="CA14" s="88">
        <f t="shared" si="16"/>
        <v>300994.8</v>
      </c>
      <c r="CB14" s="88">
        <f t="shared" si="16"/>
        <v>296362.8</v>
      </c>
      <c r="CC14" s="88">
        <f t="shared" si="16"/>
        <v>298090.60000000003</v>
      </c>
      <c r="CD14" s="88">
        <f t="shared" si="16"/>
        <v>303627.5</v>
      </c>
      <c r="CE14" s="88">
        <f t="shared" si="16"/>
        <v>309343.80000000005</v>
      </c>
      <c r="CF14" s="88">
        <f t="shared" si="16"/>
        <v>323482.1</v>
      </c>
      <c r="CG14" s="88">
        <f t="shared" si="16"/>
        <v>317877.3</v>
      </c>
      <c r="CH14" s="88">
        <f t="shared" si="16"/>
        <v>322256.7</v>
      </c>
      <c r="CI14" s="88">
        <f t="shared" si="16"/>
        <v>326781</v>
      </c>
      <c r="CJ14" s="88">
        <f t="shared" si="16"/>
        <v>326123.8</v>
      </c>
      <c r="CK14" s="88">
        <f t="shared" si="16"/>
        <v>337023.2</v>
      </c>
      <c r="CL14" s="88">
        <f t="shared" si="16"/>
        <v>336593.4</v>
      </c>
      <c r="CM14" s="88">
        <f t="shared" si="16"/>
        <v>330993.89999999997</v>
      </c>
      <c r="CN14" s="88">
        <f t="shared" si="16"/>
        <v>333090.50000000006</v>
      </c>
      <c r="CO14" s="88">
        <f t="shared" si="16"/>
        <v>328871.2</v>
      </c>
      <c r="CP14" s="88">
        <f t="shared" si="16"/>
        <v>337195.69999999995</v>
      </c>
      <c r="CQ14" s="88">
        <f t="shared" si="16"/>
        <v>342564.60000000003</v>
      </c>
      <c r="CR14" s="88">
        <f t="shared" si="16"/>
        <v>352996.80000000005</v>
      </c>
    </row>
    <row r="15" spans="1:96" ht="21.75" customHeight="1">
      <c r="A15" s="189" t="s">
        <v>12</v>
      </c>
      <c r="B15" s="77">
        <f>2429.4+845.2</f>
        <v>3274.6000000000004</v>
      </c>
      <c r="C15" s="54">
        <v>4779.3</v>
      </c>
      <c r="D15" s="55">
        <v>5996.2</v>
      </c>
      <c r="E15" s="56">
        <v>4325.8</v>
      </c>
      <c r="F15" s="57">
        <v>6027.6</v>
      </c>
      <c r="G15" s="58">
        <f>1339</f>
        <v>1339</v>
      </c>
      <c r="H15" s="57">
        <f>1086</f>
        <v>1086</v>
      </c>
      <c r="I15" s="57">
        <v>2514.4</v>
      </c>
      <c r="J15" s="58">
        <v>8106.9</v>
      </c>
      <c r="K15" s="58">
        <v>23432.2</v>
      </c>
      <c r="L15" s="59">
        <v>32659.2</v>
      </c>
      <c r="M15" s="60">
        <v>34040.1</v>
      </c>
      <c r="N15" s="60">
        <v>34910.66</v>
      </c>
      <c r="O15" s="59">
        <v>34591.93</v>
      </c>
      <c r="P15" s="59">
        <v>35773.1</v>
      </c>
      <c r="Q15" s="61">
        <v>35716.6</v>
      </c>
      <c r="R15" s="62">
        <v>35342.1</v>
      </c>
      <c r="S15" s="63">
        <v>32607.3</v>
      </c>
      <c r="T15" s="59">
        <v>31814.1</v>
      </c>
      <c r="U15" s="59">
        <v>31683.3</v>
      </c>
      <c r="V15" s="61">
        <v>31998.7</v>
      </c>
      <c r="W15" s="64">
        <v>32012.7</v>
      </c>
      <c r="X15" s="68">
        <v>33743.8</v>
      </c>
      <c r="Y15" s="59">
        <v>36507.6</v>
      </c>
      <c r="Z15" s="65">
        <v>37906.2</v>
      </c>
      <c r="AA15" s="65">
        <v>39792.5</v>
      </c>
      <c r="AB15" s="65">
        <v>36449.3</v>
      </c>
      <c r="AC15" s="65">
        <v>33168</v>
      </c>
      <c r="AD15" s="65">
        <v>30415.1</v>
      </c>
      <c r="AE15" s="65">
        <v>26125.6</v>
      </c>
      <c r="AF15" s="65">
        <v>25140.7</v>
      </c>
      <c r="AG15" s="65">
        <v>25806.9</v>
      </c>
      <c r="AH15" s="65">
        <v>27980</v>
      </c>
      <c r="AI15" s="59">
        <v>26895.7</v>
      </c>
      <c r="AJ15" s="68">
        <v>27262.6</v>
      </c>
      <c r="AK15" s="59">
        <v>24210.8</v>
      </c>
      <c r="AL15" s="59">
        <v>21850.7</v>
      </c>
      <c r="AM15" s="59">
        <v>19361.7</v>
      </c>
      <c r="AN15" s="59">
        <v>16687.9</v>
      </c>
      <c r="AO15" s="60">
        <v>14774.1</v>
      </c>
      <c r="AP15" s="64">
        <v>13565.8</v>
      </c>
      <c r="AQ15" s="65">
        <v>13563.75</v>
      </c>
      <c r="AR15" s="59">
        <v>13162</v>
      </c>
      <c r="AS15" s="68">
        <v>11379</v>
      </c>
      <c r="AT15" s="64">
        <v>12577.2</v>
      </c>
      <c r="AU15" s="65">
        <v>10481.7</v>
      </c>
      <c r="AV15" s="68">
        <v>10298.1</v>
      </c>
      <c r="AW15" s="60">
        <v>9534.8</v>
      </c>
      <c r="AX15" s="60">
        <v>8533.7</v>
      </c>
      <c r="AY15" s="60">
        <v>8032</v>
      </c>
      <c r="AZ15" s="60">
        <v>9329.9</v>
      </c>
      <c r="BA15" s="70">
        <v>9327.8</v>
      </c>
      <c r="BB15" s="70">
        <v>9826.1</v>
      </c>
      <c r="BC15" s="70">
        <v>9801</v>
      </c>
      <c r="BD15" s="70">
        <v>10099.64</v>
      </c>
      <c r="BE15" s="70">
        <v>10098.1</v>
      </c>
      <c r="BF15" s="70">
        <v>10696</v>
      </c>
      <c r="BG15" s="70">
        <v>10894.5</v>
      </c>
      <c r="BH15" s="70">
        <v>10793.4</v>
      </c>
      <c r="BI15" s="70">
        <v>11092.3</v>
      </c>
      <c r="BJ15" s="70">
        <v>12245.6</v>
      </c>
      <c r="BK15" s="70">
        <v>11744</v>
      </c>
      <c r="BL15" s="70">
        <v>12742.6</v>
      </c>
      <c r="BM15" s="70">
        <v>11886.4</v>
      </c>
      <c r="BN15" s="70">
        <v>10386.4</v>
      </c>
      <c r="BO15" s="70">
        <v>9983.2</v>
      </c>
      <c r="BP15" s="70">
        <v>9981.1</v>
      </c>
      <c r="BQ15" s="70">
        <v>9479.7</v>
      </c>
      <c r="BR15" s="70">
        <v>10878.2</v>
      </c>
      <c r="BS15" s="70">
        <v>10476.9</v>
      </c>
      <c r="BT15" s="70">
        <v>9176.1</v>
      </c>
      <c r="BU15" s="70">
        <v>10974.9</v>
      </c>
      <c r="BV15" s="70">
        <v>11573.5</v>
      </c>
      <c r="BW15" s="70">
        <v>10073.5</v>
      </c>
      <c r="BX15" s="70">
        <v>11070.8</v>
      </c>
      <c r="BY15" s="70">
        <v>10930.4</v>
      </c>
      <c r="BZ15" s="70">
        <v>11529</v>
      </c>
      <c r="CA15" s="70">
        <v>11726.7</v>
      </c>
      <c r="CB15" s="70">
        <v>12525.3</v>
      </c>
      <c r="CC15" s="70">
        <v>12323.9</v>
      </c>
      <c r="CD15" s="70">
        <v>12422.9</v>
      </c>
      <c r="CE15" s="70">
        <v>12132.8</v>
      </c>
      <c r="CF15" s="70">
        <v>11988.5</v>
      </c>
      <c r="CG15" s="70">
        <v>11671.5</v>
      </c>
      <c r="CH15" s="70">
        <v>12169.5</v>
      </c>
      <c r="CI15" s="70">
        <v>11868.1</v>
      </c>
      <c r="CJ15" s="70">
        <v>11666.9</v>
      </c>
      <c r="CK15" s="70">
        <v>10349</v>
      </c>
      <c r="CL15" s="70">
        <v>11147.7</v>
      </c>
      <c r="CM15" s="70">
        <v>12846.3</v>
      </c>
      <c r="CN15" s="70">
        <v>11544.7</v>
      </c>
      <c r="CO15" s="70">
        <v>10743.7</v>
      </c>
      <c r="CP15" s="70">
        <v>9942.1</v>
      </c>
      <c r="CQ15" s="70">
        <v>9229.5</v>
      </c>
      <c r="CR15" s="70">
        <v>8428.6</v>
      </c>
    </row>
    <row r="16" spans="1:96" ht="18.75" customHeight="1">
      <c r="A16" s="189" t="s">
        <v>13</v>
      </c>
      <c r="B16" s="77">
        <v>0</v>
      </c>
      <c r="C16" s="54">
        <v>0</v>
      </c>
      <c r="D16" s="55">
        <v>0</v>
      </c>
      <c r="E16" s="56">
        <v>0</v>
      </c>
      <c r="F16" s="57">
        <v>0</v>
      </c>
      <c r="G16" s="58">
        <v>0</v>
      </c>
      <c r="H16" s="57">
        <v>0</v>
      </c>
      <c r="I16" s="57">
        <v>0</v>
      </c>
      <c r="J16" s="58">
        <v>1825</v>
      </c>
      <c r="K16" s="58">
        <v>0</v>
      </c>
      <c r="L16" s="59">
        <v>0</v>
      </c>
      <c r="M16" s="60">
        <v>0</v>
      </c>
      <c r="N16" s="60">
        <v>0</v>
      </c>
      <c r="O16" s="59">
        <v>0</v>
      </c>
      <c r="P16" s="59">
        <v>0</v>
      </c>
      <c r="Q16" s="61">
        <v>0</v>
      </c>
      <c r="R16" s="62">
        <v>0</v>
      </c>
      <c r="S16" s="63">
        <v>0</v>
      </c>
      <c r="T16" s="59">
        <v>0</v>
      </c>
      <c r="U16" s="59">
        <v>0</v>
      </c>
      <c r="V16" s="61">
        <v>0</v>
      </c>
      <c r="W16" s="64">
        <v>0</v>
      </c>
      <c r="X16" s="60">
        <v>2200</v>
      </c>
      <c r="Y16" s="59">
        <v>0</v>
      </c>
      <c r="Z16" s="65">
        <v>0</v>
      </c>
      <c r="AA16" s="65">
        <v>0</v>
      </c>
      <c r="AB16" s="65">
        <v>0</v>
      </c>
      <c r="AC16" s="65">
        <v>0</v>
      </c>
      <c r="AD16" s="65">
        <v>0</v>
      </c>
      <c r="AE16" s="65">
        <v>0</v>
      </c>
      <c r="AF16" s="65">
        <v>0</v>
      </c>
      <c r="AG16" s="65">
        <v>0</v>
      </c>
      <c r="AH16" s="65">
        <v>0</v>
      </c>
      <c r="AI16" s="59">
        <v>0</v>
      </c>
      <c r="AJ16" s="60">
        <v>0</v>
      </c>
      <c r="AK16" s="59">
        <v>0</v>
      </c>
      <c r="AL16" s="59">
        <v>0</v>
      </c>
      <c r="AM16" s="59">
        <v>0</v>
      </c>
      <c r="AN16" s="59">
        <v>0</v>
      </c>
      <c r="AO16" s="60">
        <v>0</v>
      </c>
      <c r="AP16" s="64">
        <v>0</v>
      </c>
      <c r="AQ16" s="65">
        <v>0</v>
      </c>
      <c r="AR16" s="59">
        <v>0</v>
      </c>
      <c r="AS16" s="60">
        <v>0</v>
      </c>
      <c r="AT16" s="64">
        <v>0</v>
      </c>
      <c r="AU16" s="65">
        <v>0</v>
      </c>
      <c r="AV16" s="60">
        <v>0</v>
      </c>
      <c r="AW16" s="60">
        <v>0</v>
      </c>
      <c r="AX16" s="60">
        <v>0</v>
      </c>
      <c r="AY16" s="60">
        <v>0</v>
      </c>
      <c r="AZ16" s="6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</v>
      </c>
      <c r="BF16" s="70">
        <v>0</v>
      </c>
      <c r="BG16" s="70">
        <v>0</v>
      </c>
      <c r="BH16" s="70">
        <v>0</v>
      </c>
      <c r="BI16" s="70">
        <v>0</v>
      </c>
      <c r="BJ16" s="70">
        <v>0</v>
      </c>
      <c r="BK16" s="70">
        <v>0</v>
      </c>
      <c r="BL16" s="70">
        <v>0</v>
      </c>
      <c r="BM16" s="70">
        <v>0</v>
      </c>
      <c r="BN16" s="70">
        <v>0</v>
      </c>
      <c r="BO16" s="70">
        <v>0</v>
      </c>
      <c r="BP16" s="70">
        <v>0</v>
      </c>
      <c r="BQ16" s="70">
        <v>0</v>
      </c>
      <c r="BR16" s="70">
        <v>0</v>
      </c>
      <c r="BS16" s="70">
        <v>0</v>
      </c>
      <c r="BT16" s="70">
        <v>0</v>
      </c>
      <c r="BU16" s="70">
        <v>0</v>
      </c>
      <c r="BV16" s="70">
        <v>0</v>
      </c>
      <c r="BW16" s="70">
        <v>0</v>
      </c>
      <c r="BX16" s="70">
        <v>0</v>
      </c>
      <c r="BY16" s="70">
        <v>0</v>
      </c>
      <c r="BZ16" s="70">
        <v>0</v>
      </c>
      <c r="CA16" s="70">
        <v>0</v>
      </c>
      <c r="CB16" s="70">
        <v>0</v>
      </c>
      <c r="CC16" s="70">
        <v>0</v>
      </c>
      <c r="CD16" s="70">
        <v>0</v>
      </c>
      <c r="CE16" s="70">
        <v>0</v>
      </c>
      <c r="CF16" s="70">
        <v>0</v>
      </c>
      <c r="CG16" s="70">
        <v>0</v>
      </c>
      <c r="CH16" s="70">
        <v>0</v>
      </c>
      <c r="CI16" s="70">
        <v>0</v>
      </c>
      <c r="CJ16" s="70">
        <v>0</v>
      </c>
      <c r="CK16" s="70">
        <v>0</v>
      </c>
      <c r="CL16" s="70">
        <v>0</v>
      </c>
      <c r="CM16" s="70">
        <v>0</v>
      </c>
      <c r="CN16" s="70">
        <v>0</v>
      </c>
      <c r="CO16" s="70">
        <v>0</v>
      </c>
      <c r="CP16" s="70">
        <v>0</v>
      </c>
      <c r="CQ16" s="70">
        <v>0</v>
      </c>
      <c r="CR16" s="70">
        <v>0</v>
      </c>
    </row>
    <row r="17" spans="1:96" ht="19.5" customHeight="1">
      <c r="A17" s="189" t="s">
        <v>14</v>
      </c>
      <c r="B17" s="77">
        <f>393.8+2317.8</f>
        <v>2711.6000000000004</v>
      </c>
      <c r="C17" s="54">
        <f>1053.3+1648.4</f>
        <v>2701.7</v>
      </c>
      <c r="D17" s="55">
        <f>1874.2+755.8</f>
        <v>2630</v>
      </c>
      <c r="E17" s="56">
        <f>2666.4+108.3</f>
        <v>2774.7000000000003</v>
      </c>
      <c r="F17" s="57">
        <f>2414.2+80.4</f>
        <v>2494.6</v>
      </c>
      <c r="G17" s="58">
        <f>4426.7+55.2</f>
        <v>4481.9</v>
      </c>
      <c r="H17" s="57">
        <f>3119.1+18.8</f>
        <v>3137.9</v>
      </c>
      <c r="I17" s="57">
        <v>6885.4</v>
      </c>
      <c r="J17" s="58">
        <v>9505.7</v>
      </c>
      <c r="K17" s="58">
        <v>23146.2</v>
      </c>
      <c r="L17" s="59">
        <v>34021.4</v>
      </c>
      <c r="M17" s="60">
        <v>35529.3</v>
      </c>
      <c r="N17" s="60">
        <v>36986.4</v>
      </c>
      <c r="O17" s="59">
        <v>37457.4</v>
      </c>
      <c r="P17" s="59">
        <v>38254.2</v>
      </c>
      <c r="Q17" s="61">
        <v>42949.2</v>
      </c>
      <c r="R17" s="62">
        <v>44969.7</v>
      </c>
      <c r="S17" s="63">
        <v>48543.7</v>
      </c>
      <c r="T17" s="59">
        <v>49673.1</v>
      </c>
      <c r="U17" s="59">
        <v>50468.6</v>
      </c>
      <c r="V17" s="61">
        <v>48183.3</v>
      </c>
      <c r="W17" s="64">
        <v>49097</v>
      </c>
      <c r="X17" s="60">
        <v>50110</v>
      </c>
      <c r="Y17" s="59">
        <v>53037.3</v>
      </c>
      <c r="Z17" s="65">
        <v>57522.8</v>
      </c>
      <c r="AA17" s="65">
        <v>59607.8</v>
      </c>
      <c r="AB17" s="65">
        <v>63529.6</v>
      </c>
      <c r="AC17" s="65">
        <v>66590.6</v>
      </c>
      <c r="AD17" s="65">
        <v>67406.8</v>
      </c>
      <c r="AE17" s="65">
        <v>68753.1</v>
      </c>
      <c r="AF17" s="65">
        <v>68317.6</v>
      </c>
      <c r="AG17" s="65">
        <v>69109.3</v>
      </c>
      <c r="AH17" s="65">
        <v>67512.8</v>
      </c>
      <c r="AI17" s="59">
        <v>67251.5</v>
      </c>
      <c r="AJ17" s="60">
        <v>72929.1</v>
      </c>
      <c r="AK17" s="59">
        <v>83551.5</v>
      </c>
      <c r="AL17" s="59">
        <v>86528.9</v>
      </c>
      <c r="AM17" s="59">
        <v>86386.1</v>
      </c>
      <c r="AN17" s="59">
        <v>90993.34</v>
      </c>
      <c r="AO17" s="60">
        <v>93722.7</v>
      </c>
      <c r="AP17" s="64">
        <v>96268.8</v>
      </c>
      <c r="AQ17" s="65">
        <v>95449.45</v>
      </c>
      <c r="AR17" s="59">
        <v>95312.1</v>
      </c>
      <c r="AS17" s="60">
        <v>98248.1</v>
      </c>
      <c r="AT17" s="64">
        <v>96755.7</v>
      </c>
      <c r="AU17" s="65">
        <v>95497.9</v>
      </c>
      <c r="AV17" s="60">
        <v>98137.6</v>
      </c>
      <c r="AW17" s="60">
        <v>102279</v>
      </c>
      <c r="AX17" s="60">
        <v>105116</v>
      </c>
      <c r="AY17" s="60">
        <v>104175.3</v>
      </c>
      <c r="AZ17" s="60">
        <v>101479.9</v>
      </c>
      <c r="BA17" s="70">
        <v>98298.9</v>
      </c>
      <c r="BB17" s="70">
        <v>100914.7</v>
      </c>
      <c r="BC17" s="70">
        <v>98673.7</v>
      </c>
      <c r="BD17" s="70">
        <v>100677.34</v>
      </c>
      <c r="BE17" s="70">
        <v>102093.1</v>
      </c>
      <c r="BF17" s="70">
        <v>98497.54</v>
      </c>
      <c r="BG17" s="70">
        <v>101231.4</v>
      </c>
      <c r="BH17" s="70">
        <v>102920.4</v>
      </c>
      <c r="BI17" s="70">
        <v>105131</v>
      </c>
      <c r="BJ17" s="70">
        <v>108689.1</v>
      </c>
      <c r="BK17" s="70">
        <v>110423.5</v>
      </c>
      <c r="BL17" s="70">
        <v>105099.5</v>
      </c>
      <c r="BM17" s="70">
        <v>106353.1</v>
      </c>
      <c r="BN17" s="70">
        <v>107648.9</v>
      </c>
      <c r="BO17" s="70">
        <v>104960.7</v>
      </c>
      <c r="BP17" s="70">
        <v>106782.9</v>
      </c>
      <c r="BQ17" s="70">
        <v>109257.7</v>
      </c>
      <c r="BR17" s="70">
        <v>104088.6</v>
      </c>
      <c r="BS17" s="70">
        <v>106630.4</v>
      </c>
      <c r="BT17" s="70">
        <v>109073.3</v>
      </c>
      <c r="BU17" s="70">
        <v>105064.3</v>
      </c>
      <c r="BV17" s="70">
        <v>103300.7</v>
      </c>
      <c r="BW17" s="70">
        <v>107542.4</v>
      </c>
      <c r="BX17" s="70">
        <v>110412.4</v>
      </c>
      <c r="BY17" s="70">
        <v>106172.8</v>
      </c>
      <c r="BZ17" s="70">
        <v>108898.3</v>
      </c>
      <c r="CA17" s="70">
        <v>110879.5</v>
      </c>
      <c r="CB17" s="70">
        <v>108117.8</v>
      </c>
      <c r="CC17" s="70">
        <v>110949.8</v>
      </c>
      <c r="CD17" s="70">
        <v>113916.2</v>
      </c>
      <c r="CE17" s="70">
        <v>115168</v>
      </c>
      <c r="CF17" s="70">
        <v>116630</v>
      </c>
      <c r="CG17" s="70">
        <v>118919</v>
      </c>
      <c r="CH17" s="70">
        <v>120673.3</v>
      </c>
      <c r="CI17" s="70">
        <v>123687.4</v>
      </c>
      <c r="CJ17" s="70">
        <v>127205.9</v>
      </c>
      <c r="CK17" s="70">
        <v>130470.2</v>
      </c>
      <c r="CL17" s="70">
        <v>127075</v>
      </c>
      <c r="CM17" s="70">
        <v>122918</v>
      </c>
      <c r="CN17" s="70">
        <v>125813.3</v>
      </c>
      <c r="CO17" s="70">
        <v>128709.6</v>
      </c>
      <c r="CP17" s="70">
        <v>128708.4</v>
      </c>
      <c r="CQ17" s="70">
        <v>129957.7</v>
      </c>
      <c r="CR17" s="70">
        <v>131345.1</v>
      </c>
    </row>
    <row r="18" spans="1:96" ht="19.5" customHeight="1">
      <c r="A18" s="190" t="s">
        <v>15</v>
      </c>
      <c r="B18" s="77">
        <v>1521.8</v>
      </c>
      <c r="C18" s="54">
        <v>3782.9</v>
      </c>
      <c r="D18" s="55">
        <v>6110.8</v>
      </c>
      <c r="E18" s="56">
        <v>10073.7</v>
      </c>
      <c r="F18" s="57">
        <v>9717.4</v>
      </c>
      <c r="G18" s="58">
        <v>7354.2</v>
      </c>
      <c r="H18" s="57">
        <v>6763.4</v>
      </c>
      <c r="I18" s="57">
        <v>7220.4</v>
      </c>
      <c r="J18" s="58">
        <v>8569.9</v>
      </c>
      <c r="K18" s="58">
        <v>9093.6</v>
      </c>
      <c r="L18" s="59">
        <v>10497.8</v>
      </c>
      <c r="M18" s="60">
        <v>10424.5</v>
      </c>
      <c r="N18" s="60">
        <v>10326.75</v>
      </c>
      <c r="O18" s="59">
        <v>10079.545</v>
      </c>
      <c r="P18" s="59">
        <v>9982.28</v>
      </c>
      <c r="Q18" s="61">
        <v>10095.96</v>
      </c>
      <c r="R18" s="62">
        <v>16724.695</v>
      </c>
      <c r="S18" s="63">
        <v>16749.185</v>
      </c>
      <c r="T18" s="59">
        <v>16680.06</v>
      </c>
      <c r="U18" s="59">
        <v>17195.5</v>
      </c>
      <c r="V18" s="61">
        <v>17080.985</v>
      </c>
      <c r="W18" s="64">
        <v>17197.905</v>
      </c>
      <c r="X18" s="60">
        <v>17062.84</v>
      </c>
      <c r="Y18" s="59">
        <v>17156</v>
      </c>
      <c r="Z18" s="65">
        <v>22030.8</v>
      </c>
      <c r="AA18" s="65">
        <v>24678.4</v>
      </c>
      <c r="AB18" s="65">
        <v>24847</v>
      </c>
      <c r="AC18" s="65">
        <v>22597.9</v>
      </c>
      <c r="AD18" s="65">
        <v>22416.5</v>
      </c>
      <c r="AE18" s="65">
        <v>22673.8</v>
      </c>
      <c r="AF18" s="65">
        <v>22477.2</v>
      </c>
      <c r="AG18" s="65">
        <v>26014.1</v>
      </c>
      <c r="AH18" s="65">
        <v>25989.7</v>
      </c>
      <c r="AI18" s="59">
        <v>32587.1</v>
      </c>
      <c r="AJ18" s="60">
        <v>31912.3</v>
      </c>
      <c r="AK18" s="59">
        <v>31380</v>
      </c>
      <c r="AL18" s="59">
        <v>36538.1</v>
      </c>
      <c r="AM18" s="59">
        <v>37205.5</v>
      </c>
      <c r="AN18" s="59">
        <v>36183.34</v>
      </c>
      <c r="AO18" s="60">
        <v>36724.8</v>
      </c>
      <c r="AP18" s="64">
        <v>37330</v>
      </c>
      <c r="AQ18" s="65">
        <v>36664.7</v>
      </c>
      <c r="AR18" s="59">
        <v>36967.9</v>
      </c>
      <c r="AS18" s="60">
        <v>43616.9</v>
      </c>
      <c r="AT18" s="64">
        <v>45394.6</v>
      </c>
      <c r="AU18" s="65">
        <v>45550.25</v>
      </c>
      <c r="AV18" s="60">
        <v>45841.9</v>
      </c>
      <c r="AW18" s="60">
        <v>52835.7</v>
      </c>
      <c r="AX18" s="60">
        <v>52501.5</v>
      </c>
      <c r="AY18" s="60">
        <v>51989.3</v>
      </c>
      <c r="AZ18" s="60">
        <v>57451.6</v>
      </c>
      <c r="BA18" s="70">
        <v>57064.3</v>
      </c>
      <c r="BB18" s="70">
        <v>56865.6</v>
      </c>
      <c r="BC18" s="70">
        <v>57648.52</v>
      </c>
      <c r="BD18" s="70">
        <v>57866.8</v>
      </c>
      <c r="BE18" s="70">
        <v>58736</v>
      </c>
      <c r="BF18" s="70">
        <v>65423.73</v>
      </c>
      <c r="BG18" s="70">
        <v>65784.2</v>
      </c>
      <c r="BH18" s="70">
        <v>67140.9</v>
      </c>
      <c r="BI18" s="70">
        <v>68050</v>
      </c>
      <c r="BJ18" s="70">
        <v>68211.4</v>
      </c>
      <c r="BK18" s="70">
        <v>64432</v>
      </c>
      <c r="BL18" s="70">
        <v>63611.5</v>
      </c>
      <c r="BM18" s="70">
        <v>64300.4</v>
      </c>
      <c r="BN18" s="70">
        <v>64362</v>
      </c>
      <c r="BO18" s="70">
        <v>63860.1</v>
      </c>
      <c r="BP18" s="70">
        <v>63715.4</v>
      </c>
      <c r="BQ18" s="70">
        <v>63475.9</v>
      </c>
      <c r="BR18" s="70">
        <v>73007.6</v>
      </c>
      <c r="BS18" s="70">
        <v>74153.1</v>
      </c>
      <c r="BT18" s="70">
        <v>74749.9</v>
      </c>
      <c r="BU18" s="70">
        <v>74880.9</v>
      </c>
      <c r="BV18" s="70">
        <v>79422.6</v>
      </c>
      <c r="BW18" s="70">
        <v>78548.3</v>
      </c>
      <c r="BX18" s="70">
        <v>78592.7</v>
      </c>
      <c r="BY18" s="70">
        <v>84187.74</v>
      </c>
      <c r="BZ18" s="70">
        <v>77610.7</v>
      </c>
      <c r="CA18" s="70">
        <v>76701.7</v>
      </c>
      <c r="CB18" s="70">
        <v>76410.5</v>
      </c>
      <c r="CC18" s="70">
        <v>76325.3</v>
      </c>
      <c r="CD18" s="70">
        <v>82224.5</v>
      </c>
      <c r="CE18" s="70">
        <v>83214.6</v>
      </c>
      <c r="CF18" s="70">
        <v>83778.3</v>
      </c>
      <c r="CG18" s="70">
        <v>82740.7</v>
      </c>
      <c r="CH18" s="70">
        <v>83208.7</v>
      </c>
      <c r="CI18" s="70">
        <v>83667.9</v>
      </c>
      <c r="CJ18" s="70">
        <v>82768.6</v>
      </c>
      <c r="CK18" s="70">
        <v>90895.3</v>
      </c>
      <c r="CL18" s="70">
        <v>90121.2</v>
      </c>
      <c r="CM18" s="70">
        <v>89609.2</v>
      </c>
      <c r="CN18" s="70">
        <v>89937.7</v>
      </c>
      <c r="CO18" s="70">
        <v>90248.6</v>
      </c>
      <c r="CP18" s="70">
        <v>95158.1</v>
      </c>
      <c r="CQ18" s="70">
        <v>95647.9</v>
      </c>
      <c r="CR18" s="70">
        <v>95766.6</v>
      </c>
    </row>
    <row r="19" spans="1:96" ht="19.5" customHeight="1">
      <c r="A19" s="189" t="s">
        <v>16</v>
      </c>
      <c r="B19" s="77">
        <v>0</v>
      </c>
      <c r="C19" s="54">
        <v>0</v>
      </c>
      <c r="D19" s="55">
        <v>0</v>
      </c>
      <c r="E19" s="56">
        <v>0</v>
      </c>
      <c r="F19" s="57">
        <v>0</v>
      </c>
      <c r="G19" s="58">
        <v>0</v>
      </c>
      <c r="H19" s="57">
        <v>0</v>
      </c>
      <c r="I19" s="57">
        <v>268.6</v>
      </c>
      <c r="J19" s="58">
        <v>243.5</v>
      </c>
      <c r="K19" s="58">
        <v>79.2</v>
      </c>
      <c r="L19" s="59">
        <v>63</v>
      </c>
      <c r="M19" s="60">
        <v>57.8</v>
      </c>
      <c r="N19" s="60">
        <v>52.75</v>
      </c>
      <c r="O19" s="59">
        <v>47.39</v>
      </c>
      <c r="P19" s="59">
        <v>43.6</v>
      </c>
      <c r="Q19" s="61">
        <v>39.9</v>
      </c>
      <c r="R19" s="62">
        <v>36.4</v>
      </c>
      <c r="S19" s="63">
        <v>33.9</v>
      </c>
      <c r="T19" s="59">
        <v>27.5</v>
      </c>
      <c r="U19" s="59">
        <v>20.9</v>
      </c>
      <c r="V19" s="61">
        <v>18.4</v>
      </c>
      <c r="W19" s="64">
        <v>13.3</v>
      </c>
      <c r="X19" s="60">
        <v>8.34</v>
      </c>
      <c r="Y19" s="59">
        <v>5.7</v>
      </c>
      <c r="Z19" s="65">
        <v>4.6</v>
      </c>
      <c r="AA19" s="65">
        <v>4.3</v>
      </c>
      <c r="AB19" s="65">
        <v>3</v>
      </c>
      <c r="AC19" s="65">
        <v>3</v>
      </c>
      <c r="AD19" s="65">
        <v>1.9</v>
      </c>
      <c r="AE19" s="65">
        <v>0.6000000000000001</v>
      </c>
      <c r="AF19" s="65">
        <v>0.1</v>
      </c>
      <c r="AG19" s="65">
        <v>0.1</v>
      </c>
      <c r="AH19" s="65">
        <v>0</v>
      </c>
      <c r="AI19" s="59">
        <v>0</v>
      </c>
      <c r="AJ19" s="60">
        <v>0</v>
      </c>
      <c r="AK19" s="59">
        <v>0</v>
      </c>
      <c r="AL19" s="59">
        <v>0</v>
      </c>
      <c r="AM19" s="59">
        <v>0</v>
      </c>
      <c r="AN19" s="59">
        <v>0</v>
      </c>
      <c r="AO19" s="60">
        <v>0</v>
      </c>
      <c r="AP19" s="64">
        <v>0</v>
      </c>
      <c r="AQ19" s="65">
        <v>0</v>
      </c>
      <c r="AR19" s="59">
        <v>0</v>
      </c>
      <c r="AS19" s="60">
        <v>0</v>
      </c>
      <c r="AT19" s="64">
        <v>0</v>
      </c>
      <c r="AU19" s="65">
        <v>0</v>
      </c>
      <c r="AV19" s="60">
        <v>0</v>
      </c>
      <c r="AW19" s="60">
        <v>0</v>
      </c>
      <c r="AX19" s="60">
        <v>0</v>
      </c>
      <c r="AY19" s="60">
        <v>0</v>
      </c>
      <c r="AZ19" s="60">
        <v>0</v>
      </c>
      <c r="BA19" s="70">
        <v>0</v>
      </c>
      <c r="BB19" s="70">
        <v>0</v>
      </c>
      <c r="BC19" s="70">
        <v>0</v>
      </c>
      <c r="BD19" s="70">
        <v>0</v>
      </c>
      <c r="BE19" s="70">
        <v>0</v>
      </c>
      <c r="BF19" s="70">
        <v>0</v>
      </c>
      <c r="BG19" s="70">
        <v>0</v>
      </c>
      <c r="BH19" s="70">
        <v>0</v>
      </c>
      <c r="BI19" s="70">
        <v>0</v>
      </c>
      <c r="BJ19" s="70">
        <v>0</v>
      </c>
      <c r="BK19" s="70">
        <v>0</v>
      </c>
      <c r="BL19" s="70">
        <v>0</v>
      </c>
      <c r="BM19" s="70">
        <v>0</v>
      </c>
      <c r="BN19" s="70">
        <v>0</v>
      </c>
      <c r="BO19" s="70">
        <v>0</v>
      </c>
      <c r="BP19" s="70">
        <v>0</v>
      </c>
      <c r="BQ19" s="70">
        <v>0</v>
      </c>
      <c r="BR19" s="70">
        <v>0</v>
      </c>
      <c r="BS19" s="70">
        <v>0</v>
      </c>
      <c r="BT19" s="70">
        <v>0</v>
      </c>
      <c r="BU19" s="70">
        <v>0</v>
      </c>
      <c r="BV19" s="70">
        <v>0</v>
      </c>
      <c r="BW19" s="70">
        <v>0</v>
      </c>
      <c r="BX19" s="70">
        <v>0</v>
      </c>
      <c r="BY19" s="70">
        <v>0</v>
      </c>
      <c r="BZ19" s="70">
        <v>0</v>
      </c>
      <c r="CA19" s="70">
        <v>0</v>
      </c>
      <c r="CB19" s="70">
        <v>0</v>
      </c>
      <c r="CC19" s="70">
        <v>0</v>
      </c>
      <c r="CD19" s="70">
        <v>0</v>
      </c>
      <c r="CE19" s="70">
        <v>0</v>
      </c>
      <c r="CF19" s="70">
        <v>0</v>
      </c>
      <c r="CG19" s="70">
        <v>0</v>
      </c>
      <c r="CH19" s="70">
        <v>0</v>
      </c>
      <c r="CI19" s="70">
        <v>0</v>
      </c>
      <c r="CJ19" s="70">
        <v>0</v>
      </c>
      <c r="CK19" s="70">
        <v>0</v>
      </c>
      <c r="CL19" s="70">
        <v>0</v>
      </c>
      <c r="CM19" s="70">
        <v>0</v>
      </c>
      <c r="CN19" s="70">
        <v>0</v>
      </c>
      <c r="CO19" s="70">
        <v>0</v>
      </c>
      <c r="CP19" s="70">
        <v>0</v>
      </c>
      <c r="CQ19" s="70">
        <v>0</v>
      </c>
      <c r="CR19" s="70">
        <v>0</v>
      </c>
    </row>
    <row r="20" spans="1:96" ht="18.75" customHeight="1" thickBot="1">
      <c r="A20" s="187" t="s">
        <v>17</v>
      </c>
      <c r="B20" s="77">
        <v>16393.5</v>
      </c>
      <c r="C20" s="78">
        <v>20870.7</v>
      </c>
      <c r="D20" s="77">
        <v>26885.4</v>
      </c>
      <c r="E20" s="78">
        <v>30348.6</v>
      </c>
      <c r="F20" s="78">
        <v>33278.2</v>
      </c>
      <c r="G20" s="78">
        <v>35162.1</v>
      </c>
      <c r="H20" s="78">
        <v>29042</v>
      </c>
      <c r="I20" s="78">
        <v>29853</v>
      </c>
      <c r="J20" s="78">
        <v>32710.7</v>
      </c>
      <c r="K20" s="78">
        <v>52608.2</v>
      </c>
      <c r="L20" s="59">
        <v>73832.2</v>
      </c>
      <c r="M20" s="60">
        <v>72665.6</v>
      </c>
      <c r="N20" s="60">
        <v>72370.6565</v>
      </c>
      <c r="O20" s="59">
        <v>74926.880801</v>
      </c>
      <c r="P20" s="59">
        <v>74001.10496</v>
      </c>
      <c r="Q20" s="61">
        <v>74801.61608</v>
      </c>
      <c r="R20" s="62">
        <v>74830.11962</v>
      </c>
      <c r="S20" s="63">
        <v>69239.04657</v>
      </c>
      <c r="T20" s="59">
        <v>68798.66888</v>
      </c>
      <c r="U20" s="59">
        <v>71840</v>
      </c>
      <c r="V20" s="61">
        <v>71000.2</v>
      </c>
      <c r="W20" s="64">
        <v>72469.02509</v>
      </c>
      <c r="X20" s="60">
        <v>75418.5</v>
      </c>
      <c r="Y20" s="59">
        <v>75315.2</v>
      </c>
      <c r="Z20" s="65">
        <v>74774.7</v>
      </c>
      <c r="AA20" s="65">
        <v>75216.7</v>
      </c>
      <c r="AB20" s="65">
        <v>75697.6</v>
      </c>
      <c r="AC20" s="65">
        <v>78080</v>
      </c>
      <c r="AD20" s="65">
        <v>78422.3</v>
      </c>
      <c r="AE20" s="65">
        <v>81356.3</v>
      </c>
      <c r="AF20" s="65">
        <v>78324.4</v>
      </c>
      <c r="AG20" s="65">
        <v>79958.2</v>
      </c>
      <c r="AH20" s="65">
        <v>79579.5</v>
      </c>
      <c r="AI20" s="59">
        <v>79782.3</v>
      </c>
      <c r="AJ20" s="60">
        <v>78572.3</v>
      </c>
      <c r="AK20" s="59">
        <v>78738</v>
      </c>
      <c r="AL20" s="59">
        <v>76735.4</v>
      </c>
      <c r="AM20" s="59">
        <v>77165.9</v>
      </c>
      <c r="AN20" s="59">
        <v>75469.9</v>
      </c>
      <c r="AO20" s="60">
        <v>75675.9</v>
      </c>
      <c r="AP20" s="64">
        <v>77086</v>
      </c>
      <c r="AQ20" s="65">
        <v>75772.2</v>
      </c>
      <c r="AR20" s="59">
        <v>77060.1</v>
      </c>
      <c r="AS20" s="60">
        <v>76550</v>
      </c>
      <c r="AT20" s="64">
        <v>79208.5</v>
      </c>
      <c r="AU20" s="65">
        <v>78481.35</v>
      </c>
      <c r="AV20" s="60">
        <v>78746.4</v>
      </c>
      <c r="AW20" s="60">
        <v>78866.2</v>
      </c>
      <c r="AX20" s="60">
        <v>77894.7</v>
      </c>
      <c r="AY20" s="60">
        <v>76373</v>
      </c>
      <c r="AZ20" s="60">
        <v>76192.6</v>
      </c>
      <c r="BA20" s="70">
        <v>74834.1</v>
      </c>
      <c r="BB20" s="70">
        <v>75292.8</v>
      </c>
      <c r="BC20" s="70">
        <v>75781.73</v>
      </c>
      <c r="BD20" s="70">
        <v>74937.6</v>
      </c>
      <c r="BE20" s="70">
        <v>74387.7</v>
      </c>
      <c r="BF20" s="70">
        <v>74535.1</v>
      </c>
      <c r="BG20" s="70">
        <v>73811.65</v>
      </c>
      <c r="BH20" s="70">
        <v>74989.5</v>
      </c>
      <c r="BI20" s="70">
        <v>67694.7</v>
      </c>
      <c r="BJ20" s="70">
        <v>66906.3</v>
      </c>
      <c r="BK20" s="70">
        <v>65290.4</v>
      </c>
      <c r="BL20" s="70">
        <v>65117.9</v>
      </c>
      <c r="BM20" s="70">
        <v>65461</v>
      </c>
      <c r="BN20" s="70">
        <v>69022.6</v>
      </c>
      <c r="BO20" s="70">
        <v>68407.1</v>
      </c>
      <c r="BP20" s="70">
        <v>68624.2</v>
      </c>
      <c r="BQ20" s="70">
        <v>68358</v>
      </c>
      <c r="BR20" s="70">
        <v>68781.5</v>
      </c>
      <c r="BS20" s="70">
        <v>69055.9</v>
      </c>
      <c r="BT20" s="70">
        <v>70624.1</v>
      </c>
      <c r="BU20" s="70">
        <v>70550.1</v>
      </c>
      <c r="BV20" s="70">
        <v>69661.8</v>
      </c>
      <c r="BW20" s="70">
        <v>69540.7</v>
      </c>
      <c r="BX20" s="70">
        <v>69787.7</v>
      </c>
      <c r="BY20" s="70">
        <v>70360.74</v>
      </c>
      <c r="BZ20" s="70">
        <v>70591.4</v>
      </c>
      <c r="CA20" s="70">
        <v>69610.4</v>
      </c>
      <c r="CB20" s="70">
        <v>69170.9</v>
      </c>
      <c r="CC20" s="70">
        <v>68827.4</v>
      </c>
      <c r="CD20" s="70">
        <v>69517</v>
      </c>
      <c r="CE20" s="70">
        <v>69519.2</v>
      </c>
      <c r="CF20" s="70">
        <v>69454</v>
      </c>
      <c r="CG20" s="70">
        <v>68533.5</v>
      </c>
      <c r="CH20" s="70">
        <v>68504.5</v>
      </c>
      <c r="CI20" s="70">
        <v>68776.9</v>
      </c>
      <c r="CJ20" s="70">
        <v>68346.9</v>
      </c>
      <c r="CK20" s="70">
        <v>69017.4</v>
      </c>
      <c r="CL20" s="70">
        <v>68879</v>
      </c>
      <c r="CM20" s="70">
        <v>68828.8</v>
      </c>
      <c r="CN20" s="70">
        <v>71211.1</v>
      </c>
      <c r="CO20" s="70">
        <v>66028.5</v>
      </c>
      <c r="CP20" s="70">
        <v>65818</v>
      </c>
      <c r="CQ20" s="70">
        <v>66099.6</v>
      </c>
      <c r="CR20" s="70">
        <v>65022.1</v>
      </c>
    </row>
    <row r="21" spans="1:96" s="198" customFormat="1" ht="30.75">
      <c r="A21" s="247" t="s">
        <v>63</v>
      </c>
      <c r="B21" s="224">
        <v>1384</v>
      </c>
      <c r="C21" s="225">
        <v>1641.8</v>
      </c>
      <c r="D21" s="226">
        <v>2171.4</v>
      </c>
      <c r="E21" s="226">
        <v>3613.8</v>
      </c>
      <c r="F21" s="226">
        <v>3629.5</v>
      </c>
      <c r="G21" s="226">
        <v>8044.6</v>
      </c>
      <c r="H21" s="226">
        <v>19839.2</v>
      </c>
      <c r="I21" s="226">
        <v>29407.8</v>
      </c>
      <c r="J21" s="227">
        <v>39594.7</v>
      </c>
      <c r="K21" s="227">
        <v>28134.4</v>
      </c>
      <c r="L21" s="227">
        <v>31436.7</v>
      </c>
      <c r="M21" s="227">
        <v>26005.7</v>
      </c>
      <c r="N21" s="227">
        <v>26847.4</v>
      </c>
      <c r="O21" s="227">
        <v>30373.396</v>
      </c>
      <c r="P21" s="227">
        <v>25953.3</v>
      </c>
      <c r="Q21" s="227">
        <v>25518.2</v>
      </c>
      <c r="R21" s="227">
        <v>30485.03</v>
      </c>
      <c r="S21" s="227">
        <v>25781.5</v>
      </c>
      <c r="T21" s="227">
        <v>28981.7</v>
      </c>
      <c r="U21" s="227">
        <v>29426.2</v>
      </c>
      <c r="V21" s="227">
        <v>31299.2</v>
      </c>
      <c r="W21" s="227">
        <v>30665.7</v>
      </c>
      <c r="X21" s="227">
        <v>31845.1</v>
      </c>
      <c r="Y21" s="227">
        <v>25490.1</v>
      </c>
      <c r="Z21" s="227">
        <v>25539.4</v>
      </c>
      <c r="AA21" s="227">
        <v>23324.4</v>
      </c>
      <c r="AB21" s="227">
        <v>23426.2</v>
      </c>
      <c r="AC21" s="227">
        <v>24309.7</v>
      </c>
      <c r="AD21" s="227">
        <v>20438.3</v>
      </c>
      <c r="AE21" s="227">
        <v>24545.2</v>
      </c>
      <c r="AF21" s="227">
        <v>24204.4</v>
      </c>
      <c r="AG21" s="227">
        <v>21915.9</v>
      </c>
      <c r="AH21" s="227">
        <v>24273.6</v>
      </c>
      <c r="AI21" s="227">
        <v>20785.4</v>
      </c>
      <c r="AJ21" s="227">
        <v>16165.6</v>
      </c>
      <c r="AK21" s="227">
        <v>10942</v>
      </c>
      <c r="AL21" s="227">
        <v>14289</v>
      </c>
      <c r="AM21" s="227">
        <v>18333.5</v>
      </c>
      <c r="AN21" s="227">
        <v>19652.1</v>
      </c>
      <c r="AO21" s="227">
        <v>14618.6</v>
      </c>
      <c r="AP21" s="227">
        <v>15466.2</v>
      </c>
      <c r="AQ21" s="227">
        <v>16431.6</v>
      </c>
      <c r="AR21" s="227">
        <v>16393.4</v>
      </c>
      <c r="AS21" s="227">
        <v>16751.9</v>
      </c>
      <c r="AT21" s="227">
        <v>17523.3</v>
      </c>
      <c r="AU21" s="227">
        <v>16728</v>
      </c>
      <c r="AV21" s="227">
        <v>19155.8</v>
      </c>
      <c r="AW21" s="227">
        <v>12471.5</v>
      </c>
      <c r="AX21" s="227">
        <v>15411.8</v>
      </c>
      <c r="AY21" s="227">
        <v>13976.3</v>
      </c>
      <c r="AZ21" s="227">
        <v>17088.1</v>
      </c>
      <c r="BA21" s="227">
        <v>16055.1</v>
      </c>
      <c r="BB21" s="227">
        <v>14161.5</v>
      </c>
      <c r="BC21" s="227">
        <v>13177.9</v>
      </c>
      <c r="BD21" s="227">
        <v>11862.2</v>
      </c>
      <c r="BE21" s="227">
        <v>8644.3</v>
      </c>
      <c r="BF21" s="227">
        <v>12566.2</v>
      </c>
      <c r="BG21" s="227">
        <v>13931.85</v>
      </c>
      <c r="BH21" s="227">
        <v>24919.6</v>
      </c>
      <c r="BI21" s="227">
        <v>16271.7</v>
      </c>
      <c r="BJ21" s="227">
        <v>16351.9</v>
      </c>
      <c r="BK21" s="227">
        <v>17045.2</v>
      </c>
      <c r="BL21" s="227">
        <v>18679.4</v>
      </c>
      <c r="BM21" s="227">
        <v>18228.2</v>
      </c>
      <c r="BN21" s="227">
        <v>22414.8</v>
      </c>
      <c r="BO21" s="227">
        <v>21429.7</v>
      </c>
      <c r="BP21" s="227">
        <v>21236.3</v>
      </c>
      <c r="BQ21" s="227">
        <v>21560.1</v>
      </c>
      <c r="BR21" s="227">
        <v>20321.9</v>
      </c>
      <c r="BS21" s="227">
        <v>21524.7</v>
      </c>
      <c r="BT21" s="227">
        <v>35519.2</v>
      </c>
      <c r="BU21" s="227">
        <v>28775.9</v>
      </c>
      <c r="BV21" s="227">
        <v>30639</v>
      </c>
      <c r="BW21" s="227">
        <v>27877.5</v>
      </c>
      <c r="BX21" s="227">
        <v>28062.6</v>
      </c>
      <c r="BY21" s="227">
        <v>34623.8</v>
      </c>
      <c r="BZ21" s="227">
        <v>33791.7</v>
      </c>
      <c r="CA21" s="227">
        <v>32076.5</v>
      </c>
      <c r="CB21" s="227">
        <v>30138.3</v>
      </c>
      <c r="CC21" s="227">
        <v>29664.2</v>
      </c>
      <c r="CD21" s="227">
        <v>25546.9</v>
      </c>
      <c r="CE21" s="227">
        <v>29309.2</v>
      </c>
      <c r="CF21" s="227">
        <v>41631.3</v>
      </c>
      <c r="CG21" s="227">
        <v>36012.6</v>
      </c>
      <c r="CH21" s="227">
        <v>37700.7</v>
      </c>
      <c r="CI21" s="227">
        <v>38780.7</v>
      </c>
      <c r="CJ21" s="227">
        <v>36135.5</v>
      </c>
      <c r="CK21" s="227">
        <v>36291.3</v>
      </c>
      <c r="CL21" s="227">
        <v>39370.5</v>
      </c>
      <c r="CM21" s="227">
        <v>36791.6</v>
      </c>
      <c r="CN21" s="227">
        <v>34583.7</v>
      </c>
      <c r="CO21" s="227">
        <v>33140.8</v>
      </c>
      <c r="CP21" s="227">
        <v>37569.1</v>
      </c>
      <c r="CQ21" s="227">
        <v>41629.9</v>
      </c>
      <c r="CR21" s="228">
        <v>52434.4</v>
      </c>
    </row>
    <row r="22" spans="1:96" ht="16.5" customHeight="1" hidden="1">
      <c r="A22" s="229" t="s">
        <v>19</v>
      </c>
      <c r="B22" s="213">
        <f aca="true" t="shared" si="17" ref="B22:AT22">SUM(B23:B38)</f>
        <v>25285.539999999997</v>
      </c>
      <c r="C22" s="213">
        <f t="shared" si="17"/>
        <v>33776.359149</v>
      </c>
      <c r="D22" s="213">
        <f t="shared" si="17"/>
        <v>43793.793999999994</v>
      </c>
      <c r="E22" s="213">
        <f t="shared" si="17"/>
        <v>51136.57999999999</v>
      </c>
      <c r="F22" s="213">
        <f t="shared" si="17"/>
        <v>55147.34</v>
      </c>
      <c r="G22" s="213">
        <f t="shared" si="17"/>
        <v>56381.83</v>
      </c>
      <c r="H22" s="213">
        <f t="shared" si="17"/>
        <v>59868.54558</v>
      </c>
      <c r="I22" s="213">
        <f t="shared" si="17"/>
        <v>76149.63</v>
      </c>
      <c r="J22" s="218">
        <f t="shared" si="17"/>
        <v>100556.44</v>
      </c>
      <c r="K22" s="218">
        <f t="shared" si="17"/>
        <v>136493.84000000003</v>
      </c>
      <c r="L22" s="218">
        <f t="shared" si="17"/>
        <v>182510.28999999998</v>
      </c>
      <c r="M22" s="218">
        <f t="shared" si="17"/>
        <v>178723</v>
      </c>
      <c r="N22" s="218">
        <f t="shared" si="17"/>
        <v>181494.61649999995</v>
      </c>
      <c r="O22" s="218">
        <f t="shared" si="17"/>
        <v>187476.459519</v>
      </c>
      <c r="P22" s="218">
        <f t="shared" si="17"/>
        <v>184007.58495999998</v>
      </c>
      <c r="Q22" s="218">
        <f t="shared" si="17"/>
        <v>189121.47608</v>
      </c>
      <c r="R22" s="218">
        <f t="shared" si="17"/>
        <v>202388.04461999997</v>
      </c>
      <c r="S22" s="218">
        <f t="shared" si="17"/>
        <v>192954.63157000003</v>
      </c>
      <c r="T22" s="218">
        <f t="shared" si="17"/>
        <v>195975.12888</v>
      </c>
      <c r="U22" s="218">
        <f t="shared" si="17"/>
        <v>200634.5</v>
      </c>
      <c r="V22" s="218">
        <f t="shared" si="17"/>
        <v>199580.80933</v>
      </c>
      <c r="W22" s="218">
        <f t="shared" si="17"/>
        <v>201455.63009</v>
      </c>
      <c r="X22" s="218">
        <f t="shared" si="17"/>
        <v>210388.63039999997</v>
      </c>
      <c r="Y22" s="218">
        <f t="shared" si="17"/>
        <v>207511.9</v>
      </c>
      <c r="Z22" s="218">
        <f t="shared" si="17"/>
        <v>217778.50000000003</v>
      </c>
      <c r="AA22" s="218">
        <f t="shared" si="17"/>
        <v>222624.09999999998</v>
      </c>
      <c r="AB22" s="218">
        <f t="shared" si="17"/>
        <v>223952.7</v>
      </c>
      <c r="AC22" s="218">
        <f t="shared" si="17"/>
        <v>224749.29999999996</v>
      </c>
      <c r="AD22" s="218">
        <f t="shared" si="17"/>
        <v>219100.9</v>
      </c>
      <c r="AE22" s="218">
        <f t="shared" si="17"/>
        <v>223454.6</v>
      </c>
      <c r="AF22" s="218">
        <f t="shared" si="17"/>
        <v>218464.40000000005</v>
      </c>
      <c r="AG22" s="218">
        <f t="shared" si="17"/>
        <v>222804.5</v>
      </c>
      <c r="AH22" s="218">
        <f t="shared" si="17"/>
        <v>225335.58604000002</v>
      </c>
      <c r="AI22" s="218">
        <f t="shared" si="17"/>
        <v>227302.00000000003</v>
      </c>
      <c r="AJ22" s="218">
        <f t="shared" si="17"/>
        <v>226841.9</v>
      </c>
      <c r="AK22" s="218">
        <f t="shared" si="17"/>
        <v>226822.26</v>
      </c>
      <c r="AL22" s="218">
        <f t="shared" si="17"/>
        <v>235942.1</v>
      </c>
      <c r="AM22" s="218">
        <f t="shared" si="17"/>
        <v>238452.69999999998</v>
      </c>
      <c r="AN22" s="218">
        <f t="shared" si="17"/>
        <v>238986.58000000002</v>
      </c>
      <c r="AO22" s="218">
        <f t="shared" si="17"/>
        <v>235516.09999999998</v>
      </c>
      <c r="AP22" s="218">
        <f t="shared" si="17"/>
        <v>239716.77000000002</v>
      </c>
      <c r="AQ22" s="218">
        <f t="shared" si="17"/>
        <v>237881.69999999998</v>
      </c>
      <c r="AR22" s="218">
        <f t="shared" si="17"/>
        <v>238895.50000000003</v>
      </c>
      <c r="AS22" s="218">
        <f t="shared" si="17"/>
        <v>246545.90000000002</v>
      </c>
      <c r="AT22" s="218">
        <f t="shared" si="17"/>
        <v>251459.30000000002</v>
      </c>
      <c r="AU22" s="218">
        <v>246739.2</v>
      </c>
      <c r="AV22" s="218">
        <f aca="true" t="shared" si="18" ref="AV22:CA22">SUM(AV23:AV38)</f>
        <v>252179.80000000002</v>
      </c>
      <c r="AW22" s="218">
        <f t="shared" si="18"/>
        <v>255987.17999999996</v>
      </c>
      <c r="AX22" s="218">
        <f t="shared" si="18"/>
        <v>259457.68000000002</v>
      </c>
      <c r="AY22" s="218">
        <f t="shared" si="18"/>
        <v>254545.90000000002</v>
      </c>
      <c r="AZ22" s="218">
        <f t="shared" si="18"/>
        <v>261542.1</v>
      </c>
      <c r="BA22" s="218">
        <f t="shared" si="18"/>
        <v>255580.18</v>
      </c>
      <c r="BB22" s="218">
        <f t="shared" si="18"/>
        <v>257060.69999999998</v>
      </c>
      <c r="BC22" s="218">
        <f t="shared" si="18"/>
        <v>255082.86000000002</v>
      </c>
      <c r="BD22" s="218">
        <f t="shared" si="18"/>
        <v>255443.59999999998</v>
      </c>
      <c r="BE22" s="218">
        <f t="shared" si="18"/>
        <v>253959.19999999998</v>
      </c>
      <c r="BF22" s="218">
        <f t="shared" si="18"/>
        <v>261718.58000000002</v>
      </c>
      <c r="BG22" s="218">
        <f t="shared" si="18"/>
        <v>265653.6</v>
      </c>
      <c r="BH22" s="218">
        <f t="shared" si="18"/>
        <v>280763.8</v>
      </c>
      <c r="BI22" s="218">
        <f t="shared" si="18"/>
        <v>268239.70000000007</v>
      </c>
      <c r="BJ22" s="218">
        <f t="shared" si="18"/>
        <v>272404.3</v>
      </c>
      <c r="BK22" s="218">
        <f t="shared" si="18"/>
        <v>268935.10000000003</v>
      </c>
      <c r="BL22" s="218">
        <f t="shared" si="18"/>
        <v>265250.9</v>
      </c>
      <c r="BM22" s="218">
        <f t="shared" si="18"/>
        <v>266229.1</v>
      </c>
      <c r="BN22" s="218">
        <f t="shared" si="18"/>
        <v>273834.7</v>
      </c>
      <c r="BO22" s="218">
        <f t="shared" si="18"/>
        <v>268640.80000000005</v>
      </c>
      <c r="BP22" s="218">
        <f t="shared" si="18"/>
        <v>270339.89999999997</v>
      </c>
      <c r="BQ22" s="218">
        <f t="shared" si="18"/>
        <v>272131.39999999997</v>
      </c>
      <c r="BR22" s="218">
        <f t="shared" si="18"/>
        <v>277077.80000000005</v>
      </c>
      <c r="BS22" s="218">
        <f t="shared" si="18"/>
        <v>281841.00000000006</v>
      </c>
      <c r="BT22" s="218">
        <f t="shared" si="18"/>
        <v>299142.6</v>
      </c>
      <c r="BU22" s="218">
        <f t="shared" si="18"/>
        <v>290246.0999999999</v>
      </c>
      <c r="BV22" s="218">
        <f t="shared" si="18"/>
        <v>294597.55</v>
      </c>
      <c r="BW22" s="218">
        <f t="shared" si="18"/>
        <v>293582.37</v>
      </c>
      <c r="BX22" s="218">
        <f t="shared" si="18"/>
        <v>297926.19999999995</v>
      </c>
      <c r="BY22" s="218">
        <f t="shared" si="18"/>
        <v>306275.48</v>
      </c>
      <c r="BZ22" s="218">
        <f t="shared" si="18"/>
        <v>302421.1</v>
      </c>
      <c r="CA22" s="218">
        <f t="shared" si="18"/>
        <v>300994.8</v>
      </c>
      <c r="CB22" s="218">
        <f aca="true" t="shared" si="19" ref="CB22:CM22">SUM(CB23:CB38)</f>
        <v>296362.8</v>
      </c>
      <c r="CC22" s="218">
        <f t="shared" si="19"/>
        <v>298090.60000000003</v>
      </c>
      <c r="CD22" s="218">
        <f t="shared" si="19"/>
        <v>303627.5</v>
      </c>
      <c r="CE22" s="218">
        <f t="shared" si="19"/>
        <v>309343.80000000005</v>
      </c>
      <c r="CF22" s="218">
        <f t="shared" si="19"/>
        <v>323482.1</v>
      </c>
      <c r="CG22" s="218">
        <f t="shared" si="19"/>
        <v>317877.3</v>
      </c>
      <c r="CH22" s="218">
        <f t="shared" si="19"/>
        <v>322256.7</v>
      </c>
      <c r="CI22" s="218">
        <f t="shared" si="19"/>
        <v>326781</v>
      </c>
      <c r="CJ22" s="218">
        <f t="shared" si="19"/>
        <v>326123.8</v>
      </c>
      <c r="CK22" s="218">
        <f t="shared" si="19"/>
        <v>337023.2</v>
      </c>
      <c r="CL22" s="218">
        <f t="shared" si="19"/>
        <v>336593.39999999997</v>
      </c>
      <c r="CM22" s="218">
        <f t="shared" si="19"/>
        <v>330993.9</v>
      </c>
      <c r="CN22" s="218">
        <f>SUM(CN23:CN38)</f>
        <v>333090.50000000006</v>
      </c>
      <c r="CO22" s="218">
        <f>SUM(CO23:CO38)</f>
        <v>328871.2</v>
      </c>
      <c r="CP22" s="218">
        <f>SUM(CP23:CP38)</f>
        <v>337195.7</v>
      </c>
      <c r="CQ22" s="218">
        <f>SUM(CQ23:CQ38)</f>
        <v>342564.54999999993</v>
      </c>
      <c r="CR22" s="230">
        <f>SUM(CR23:CR38)</f>
        <v>352996.8</v>
      </c>
    </row>
    <row r="23" spans="1:96" ht="16.5" customHeight="1" hidden="1">
      <c r="A23" s="231" t="s">
        <v>20</v>
      </c>
      <c r="B23" s="214">
        <v>6422.7</v>
      </c>
      <c r="C23" s="214">
        <v>7781.8</v>
      </c>
      <c r="D23" s="214">
        <v>9233.6</v>
      </c>
      <c r="E23" s="214">
        <v>9245.2</v>
      </c>
      <c r="F23" s="214">
        <v>11180.2</v>
      </c>
      <c r="G23" s="214">
        <v>12908</v>
      </c>
      <c r="H23" s="214">
        <v>24461.8</v>
      </c>
      <c r="I23" s="214">
        <f>40473.6+26.6</f>
        <v>40500.2</v>
      </c>
      <c r="J23" s="219">
        <v>60024.77</v>
      </c>
      <c r="K23" s="219">
        <v>64302</v>
      </c>
      <c r="L23" s="220">
        <v>82628.67</v>
      </c>
      <c r="M23" s="220">
        <v>79925.5</v>
      </c>
      <c r="N23" s="220">
        <v>83993.0015</v>
      </c>
      <c r="O23" s="220">
        <v>87143.764697</v>
      </c>
      <c r="P23" s="220">
        <v>85449.9924</v>
      </c>
      <c r="Q23" s="221">
        <v>85312.60184</v>
      </c>
      <c r="R23" s="220">
        <v>91364.77415</v>
      </c>
      <c r="S23" s="221">
        <v>90617.74542</v>
      </c>
      <c r="T23" s="220">
        <v>94187.45136</v>
      </c>
      <c r="U23" s="220">
        <v>94783.4</v>
      </c>
      <c r="V23" s="221">
        <v>94796.39115</v>
      </c>
      <c r="W23" s="220">
        <v>94936.44005</v>
      </c>
      <c r="X23" s="220">
        <v>101241.2</v>
      </c>
      <c r="Y23" s="220">
        <v>98158.4</v>
      </c>
      <c r="Z23" s="220">
        <v>104104.6</v>
      </c>
      <c r="AA23" s="220">
        <v>105736.3</v>
      </c>
      <c r="AB23" s="220">
        <v>106363.1</v>
      </c>
      <c r="AC23" s="220">
        <v>106761.2</v>
      </c>
      <c r="AD23" s="220">
        <v>101022.2</v>
      </c>
      <c r="AE23" s="220">
        <v>101826.7</v>
      </c>
      <c r="AF23" s="220">
        <v>100318.5</v>
      </c>
      <c r="AG23" s="220">
        <v>99979</v>
      </c>
      <c r="AH23" s="220">
        <v>100270.08548</v>
      </c>
      <c r="AI23" s="220">
        <v>97732.9</v>
      </c>
      <c r="AJ23" s="220">
        <v>99439.1</v>
      </c>
      <c r="AK23" s="220">
        <v>99783.7</v>
      </c>
      <c r="AL23" s="220">
        <v>103672.5</v>
      </c>
      <c r="AM23" s="220">
        <v>104869.8</v>
      </c>
      <c r="AN23" s="220">
        <v>105997.4</v>
      </c>
      <c r="AO23" s="220">
        <v>101637</v>
      </c>
      <c r="AP23" s="220">
        <v>103298.7</v>
      </c>
      <c r="AQ23" s="220">
        <v>102195.9</v>
      </c>
      <c r="AR23" s="220">
        <v>103428.65</v>
      </c>
      <c r="AS23" s="220">
        <v>104796.1</v>
      </c>
      <c r="AT23" s="220">
        <v>104757.9</v>
      </c>
      <c r="AU23" s="220">
        <v>106384.8</v>
      </c>
      <c r="AV23" s="220">
        <v>111762.1</v>
      </c>
      <c r="AW23" s="220">
        <v>107289.34</v>
      </c>
      <c r="AX23" s="220">
        <v>111294.7</v>
      </c>
      <c r="AY23" s="220">
        <v>107760.25</v>
      </c>
      <c r="AZ23" s="220">
        <v>109668.3</v>
      </c>
      <c r="BA23" s="220">
        <v>111480.64</v>
      </c>
      <c r="BB23" s="220">
        <v>113040.8</v>
      </c>
      <c r="BC23" s="220">
        <v>109895.3</v>
      </c>
      <c r="BD23" s="220">
        <v>109823.7</v>
      </c>
      <c r="BE23" s="220">
        <v>108147.2</v>
      </c>
      <c r="BF23" s="220">
        <v>112347.6</v>
      </c>
      <c r="BG23" s="220">
        <v>113790.1</v>
      </c>
      <c r="BH23" s="220">
        <v>126434.7</v>
      </c>
      <c r="BI23" s="220">
        <v>120235.2</v>
      </c>
      <c r="BJ23" s="220">
        <v>125380.6</v>
      </c>
      <c r="BK23" s="220">
        <v>127456.2</v>
      </c>
      <c r="BL23" s="220">
        <v>125140.2</v>
      </c>
      <c r="BM23" s="220">
        <v>125273.1</v>
      </c>
      <c r="BN23" s="220">
        <v>129325.2</v>
      </c>
      <c r="BO23" s="220">
        <v>129716.6</v>
      </c>
      <c r="BP23" s="220">
        <v>131689.7</v>
      </c>
      <c r="BQ23" s="220">
        <v>134182.4</v>
      </c>
      <c r="BR23" s="220">
        <v>129449.3</v>
      </c>
      <c r="BS23" s="220">
        <v>133011.3</v>
      </c>
      <c r="BT23" s="220">
        <v>148073.45</v>
      </c>
      <c r="BU23" s="220">
        <v>139167.8</v>
      </c>
      <c r="BV23" s="220">
        <v>145002</v>
      </c>
      <c r="BW23" s="220">
        <v>144221.7</v>
      </c>
      <c r="BX23" s="220">
        <v>148564.6</v>
      </c>
      <c r="BY23" s="220">
        <v>151075.9</v>
      </c>
      <c r="BZ23" s="220">
        <v>153976.4</v>
      </c>
      <c r="CA23" s="220">
        <v>154562.5</v>
      </c>
      <c r="CB23" s="220">
        <v>150866.7</v>
      </c>
      <c r="CC23" s="220">
        <v>152881.6</v>
      </c>
      <c r="CD23" s="220">
        <v>152088.4</v>
      </c>
      <c r="CE23" s="220">
        <v>156837.9</v>
      </c>
      <c r="CF23" s="220">
        <v>170582.2</v>
      </c>
      <c r="CG23" s="220">
        <v>166844.4</v>
      </c>
      <c r="CH23" s="220">
        <v>170931.1</v>
      </c>
      <c r="CI23" s="220">
        <v>174820.7</v>
      </c>
      <c r="CJ23" s="220">
        <v>174533.3</v>
      </c>
      <c r="CK23" s="220">
        <v>177133.5</v>
      </c>
      <c r="CL23" s="220">
        <v>177778.8</v>
      </c>
      <c r="CM23" s="220">
        <v>172960.4</v>
      </c>
      <c r="CN23" s="220">
        <v>172361.8</v>
      </c>
      <c r="CO23" s="220">
        <v>173113.3</v>
      </c>
      <c r="CP23" s="220">
        <v>176755.4</v>
      </c>
      <c r="CQ23" s="220">
        <v>181404.3</v>
      </c>
      <c r="CR23" s="232">
        <v>192057.4</v>
      </c>
    </row>
    <row r="24" spans="1:96" ht="16.5" customHeight="1" hidden="1">
      <c r="A24" s="231" t="s">
        <v>21</v>
      </c>
      <c r="B24" s="215">
        <f>(6269.8+3677)+998.4</f>
        <v>10945.199999999999</v>
      </c>
      <c r="C24" s="216">
        <f>5187.6+7520+1395.8</f>
        <v>14103.4</v>
      </c>
      <c r="D24" s="214">
        <f>8103.14+6547.9+2527.6</f>
        <v>17178.64</v>
      </c>
      <c r="E24" s="214">
        <f>6714.65+7577.9+1982.86</f>
        <v>16275.41</v>
      </c>
      <c r="F24" s="214">
        <f>6520.9+7562.15+3061.7</f>
        <v>17144.75</v>
      </c>
      <c r="G24" s="214">
        <f>6653.49+7494.9+3178.8</f>
        <v>17327.19</v>
      </c>
      <c r="H24" s="214">
        <f>5047.16+4330.73+1358.3</f>
        <v>10736.189999999999</v>
      </c>
      <c r="I24" s="214">
        <f>1243.9+8060.91+2.6</f>
        <v>9307.41</v>
      </c>
      <c r="J24" s="219">
        <f>1417.3+7810.21</f>
        <v>9227.51</v>
      </c>
      <c r="K24" s="219">
        <f>1484.3+7144.76</f>
        <v>8629.06</v>
      </c>
      <c r="L24" s="220">
        <v>8458.15</v>
      </c>
      <c r="M24" s="220">
        <v>8158.9</v>
      </c>
      <c r="N24" s="220">
        <v>7959.06</v>
      </c>
      <c r="O24" s="220">
        <v>7510.389712</v>
      </c>
      <c r="P24" s="220">
        <v>6940.63368</v>
      </c>
      <c r="Q24" s="221">
        <v>7118.91072</v>
      </c>
      <c r="R24" s="220">
        <v>5999.8783</v>
      </c>
      <c r="S24" s="221">
        <v>6073.53728</v>
      </c>
      <c r="T24" s="220">
        <v>5918.40072</v>
      </c>
      <c r="U24" s="220">
        <v>6400.7</v>
      </c>
      <c r="V24" s="221">
        <v>5837.01078</v>
      </c>
      <c r="W24" s="220">
        <v>6041.60924</v>
      </c>
      <c r="X24" s="220">
        <v>6091.65</v>
      </c>
      <c r="Y24" s="220">
        <v>5997.2</v>
      </c>
      <c r="Z24" s="220">
        <v>10689.3</v>
      </c>
      <c r="AA24" s="220">
        <v>13165.8</v>
      </c>
      <c r="AB24" s="220">
        <v>13181.1</v>
      </c>
      <c r="AC24" s="220">
        <v>14116.6</v>
      </c>
      <c r="AD24" s="220">
        <v>13869.5</v>
      </c>
      <c r="AE24" s="220">
        <v>14559.4</v>
      </c>
      <c r="AF24" s="220">
        <v>13805.6</v>
      </c>
      <c r="AG24" s="220">
        <v>13491.9</v>
      </c>
      <c r="AH24" s="220">
        <v>13370.70486</v>
      </c>
      <c r="AI24" s="220">
        <v>13141.6</v>
      </c>
      <c r="AJ24" s="220">
        <v>12661.8</v>
      </c>
      <c r="AK24" s="220">
        <v>12176.2</v>
      </c>
      <c r="AL24" s="220">
        <v>17501.9</v>
      </c>
      <c r="AM24" s="220">
        <v>17950.6</v>
      </c>
      <c r="AN24" s="220">
        <v>17075.3</v>
      </c>
      <c r="AO24" s="220">
        <v>17300.15</v>
      </c>
      <c r="AP24" s="220">
        <v>17497.9</v>
      </c>
      <c r="AQ24" s="220">
        <v>16968.6</v>
      </c>
      <c r="AR24" s="220">
        <v>17075.25</v>
      </c>
      <c r="AS24" s="220">
        <v>16756.6</v>
      </c>
      <c r="AT24" s="220">
        <v>16370.5</v>
      </c>
      <c r="AU24" s="220">
        <v>16330.4</v>
      </c>
      <c r="AV24" s="220">
        <v>16269.2</v>
      </c>
      <c r="AW24" s="220">
        <v>23189.74</v>
      </c>
      <c r="AX24" s="220">
        <v>22710.3</v>
      </c>
      <c r="AY24" s="220">
        <v>22362.65</v>
      </c>
      <c r="AZ24" s="220">
        <v>22187.6</v>
      </c>
      <c r="BA24" s="220">
        <v>22161.4</v>
      </c>
      <c r="BB24" s="220">
        <v>22013</v>
      </c>
      <c r="BC24" s="220">
        <v>22589.24</v>
      </c>
      <c r="BD24" s="220">
        <v>22848.6</v>
      </c>
      <c r="BE24" s="220">
        <v>23797.5</v>
      </c>
      <c r="BF24" s="220">
        <v>23758.5</v>
      </c>
      <c r="BG24" s="220">
        <v>23916.7</v>
      </c>
      <c r="BH24" s="220">
        <v>24796.2</v>
      </c>
      <c r="BI24" s="220">
        <v>26294.8</v>
      </c>
      <c r="BJ24" s="220">
        <v>26467.9</v>
      </c>
      <c r="BK24" s="220">
        <v>27441.6</v>
      </c>
      <c r="BL24" s="220">
        <v>26258</v>
      </c>
      <c r="BM24" s="220">
        <v>26711.4</v>
      </c>
      <c r="BN24" s="220">
        <v>26385.2</v>
      </c>
      <c r="BO24" s="220">
        <v>26482</v>
      </c>
      <c r="BP24" s="220">
        <v>25976.1</v>
      </c>
      <c r="BQ24" s="220">
        <v>25759</v>
      </c>
      <c r="BR24" s="220">
        <v>26246.9</v>
      </c>
      <c r="BS24" s="220">
        <v>27211</v>
      </c>
      <c r="BT24" s="220">
        <v>26858.85</v>
      </c>
      <c r="BU24" s="220">
        <v>26850.9</v>
      </c>
      <c r="BV24" s="220">
        <v>26433.93</v>
      </c>
      <c r="BW24" s="220">
        <v>25273.2</v>
      </c>
      <c r="BX24" s="220">
        <v>25126.9</v>
      </c>
      <c r="BY24" s="220">
        <v>25729.6</v>
      </c>
      <c r="BZ24" s="220">
        <v>25854.4</v>
      </c>
      <c r="CA24" s="220">
        <v>25555.6</v>
      </c>
      <c r="CB24" s="220">
        <v>25325.3</v>
      </c>
      <c r="CC24" s="220">
        <v>25157.7</v>
      </c>
      <c r="CD24" s="220">
        <v>25906.4</v>
      </c>
      <c r="CE24" s="220">
        <v>26697.1</v>
      </c>
      <c r="CF24" s="220">
        <v>26930.6</v>
      </c>
      <c r="CG24" s="220">
        <v>26267.1</v>
      </c>
      <c r="CH24" s="220">
        <v>26546.4</v>
      </c>
      <c r="CI24" s="220">
        <v>26471.5</v>
      </c>
      <c r="CJ24" s="220">
        <v>25679.8</v>
      </c>
      <c r="CK24" s="220">
        <v>25170.4</v>
      </c>
      <c r="CL24" s="220">
        <v>24556</v>
      </c>
      <c r="CM24" s="220">
        <v>23893.4</v>
      </c>
      <c r="CN24" s="220">
        <v>23698.5</v>
      </c>
      <c r="CO24" s="220">
        <v>23826.6</v>
      </c>
      <c r="CP24" s="220">
        <v>24099.4</v>
      </c>
      <c r="CQ24" s="220">
        <v>23847.9</v>
      </c>
      <c r="CR24" s="232">
        <v>23657.8</v>
      </c>
    </row>
    <row r="25" spans="1:96" ht="16.5" customHeight="1" hidden="1">
      <c r="A25" s="231" t="s">
        <v>22</v>
      </c>
      <c r="B25" s="215">
        <f>1297.1+503.45+31.8</f>
        <v>1832.35</v>
      </c>
      <c r="C25" s="216">
        <f>476.5+172.83+7.8</f>
        <v>657.13</v>
      </c>
      <c r="D25" s="214">
        <v>0</v>
      </c>
      <c r="E25" s="214">
        <v>0</v>
      </c>
      <c r="F25" s="214">
        <v>0</v>
      </c>
      <c r="G25" s="214">
        <v>0</v>
      </c>
      <c r="H25" s="214">
        <v>0</v>
      </c>
      <c r="I25" s="214">
        <v>0</v>
      </c>
      <c r="J25" s="219">
        <v>0</v>
      </c>
      <c r="K25" s="219">
        <v>0</v>
      </c>
      <c r="L25" s="220">
        <v>0</v>
      </c>
      <c r="M25" s="220">
        <v>0</v>
      </c>
      <c r="N25" s="220">
        <v>0</v>
      </c>
      <c r="O25" s="220">
        <v>0</v>
      </c>
      <c r="P25" s="220">
        <v>0</v>
      </c>
      <c r="Q25" s="221">
        <v>0</v>
      </c>
      <c r="R25" s="220">
        <v>0</v>
      </c>
      <c r="S25" s="221">
        <v>0</v>
      </c>
      <c r="T25" s="220">
        <v>0</v>
      </c>
      <c r="U25" s="220">
        <v>0</v>
      </c>
      <c r="V25" s="221">
        <v>0</v>
      </c>
      <c r="W25" s="220">
        <v>0</v>
      </c>
      <c r="X25" s="220">
        <v>0</v>
      </c>
      <c r="Y25" s="220">
        <v>0</v>
      </c>
      <c r="Z25" s="220">
        <v>0</v>
      </c>
      <c r="AA25" s="220">
        <v>0</v>
      </c>
      <c r="AB25" s="220">
        <v>0</v>
      </c>
      <c r="AC25" s="220">
        <v>0</v>
      </c>
      <c r="AD25" s="220">
        <v>0</v>
      </c>
      <c r="AE25" s="220">
        <v>0</v>
      </c>
      <c r="AF25" s="220">
        <v>0</v>
      </c>
      <c r="AG25" s="220">
        <v>0</v>
      </c>
      <c r="AH25" s="220">
        <v>0</v>
      </c>
      <c r="AI25" s="220">
        <v>0</v>
      </c>
      <c r="AJ25" s="220">
        <v>0</v>
      </c>
      <c r="AK25" s="220">
        <v>0</v>
      </c>
      <c r="AL25" s="220">
        <v>0</v>
      </c>
      <c r="AM25" s="220">
        <v>0</v>
      </c>
      <c r="AN25" s="220">
        <v>0</v>
      </c>
      <c r="AO25" s="220">
        <v>0</v>
      </c>
      <c r="AP25" s="220">
        <v>0</v>
      </c>
      <c r="AQ25" s="220">
        <v>0</v>
      </c>
      <c r="AR25" s="220">
        <v>0</v>
      </c>
      <c r="AS25" s="220">
        <v>0</v>
      </c>
      <c r="AT25" s="220">
        <v>0</v>
      </c>
      <c r="AU25" s="220">
        <v>0</v>
      </c>
      <c r="AV25" s="220">
        <v>0</v>
      </c>
      <c r="AW25" s="220">
        <v>0</v>
      </c>
      <c r="AX25" s="220">
        <v>0</v>
      </c>
      <c r="AY25" s="220">
        <v>0</v>
      </c>
      <c r="AZ25" s="220">
        <v>0</v>
      </c>
      <c r="BA25" s="220">
        <v>0</v>
      </c>
      <c r="BB25" s="220">
        <v>0</v>
      </c>
      <c r="BC25" s="220">
        <v>0</v>
      </c>
      <c r="BD25" s="220">
        <v>0</v>
      </c>
      <c r="BE25" s="220">
        <v>0</v>
      </c>
      <c r="BF25" s="220">
        <v>0</v>
      </c>
      <c r="BG25" s="220">
        <v>0</v>
      </c>
      <c r="BH25" s="220">
        <v>0</v>
      </c>
      <c r="BI25" s="220">
        <v>0</v>
      </c>
      <c r="BJ25" s="220">
        <v>0</v>
      </c>
      <c r="BK25" s="220">
        <v>0</v>
      </c>
      <c r="BL25" s="220">
        <v>0</v>
      </c>
      <c r="BM25" s="220">
        <v>0</v>
      </c>
      <c r="BN25" s="220">
        <v>0</v>
      </c>
      <c r="BO25" s="220">
        <v>0</v>
      </c>
      <c r="BP25" s="220">
        <v>0</v>
      </c>
      <c r="BQ25" s="220">
        <v>0</v>
      </c>
      <c r="BR25" s="220">
        <v>0</v>
      </c>
      <c r="BS25" s="220">
        <v>0</v>
      </c>
      <c r="BT25" s="220">
        <v>0</v>
      </c>
      <c r="BU25" s="220">
        <v>0</v>
      </c>
      <c r="BV25" s="220">
        <v>0</v>
      </c>
      <c r="BW25" s="220">
        <v>0</v>
      </c>
      <c r="BX25" s="220">
        <v>0</v>
      </c>
      <c r="BY25" s="220">
        <v>0</v>
      </c>
      <c r="BZ25" s="220">
        <v>0</v>
      </c>
      <c r="CA25" s="220">
        <v>0</v>
      </c>
      <c r="CB25" s="220">
        <v>0</v>
      </c>
      <c r="CC25" s="220">
        <v>0</v>
      </c>
      <c r="CD25" s="220">
        <v>0</v>
      </c>
      <c r="CE25" s="220">
        <v>0</v>
      </c>
      <c r="CF25" s="220">
        <v>0</v>
      </c>
      <c r="CG25" s="220">
        <v>0</v>
      </c>
      <c r="CH25" s="220">
        <v>0</v>
      </c>
      <c r="CI25" s="220">
        <v>0</v>
      </c>
      <c r="CJ25" s="220">
        <v>0</v>
      </c>
      <c r="CK25" s="220">
        <v>0</v>
      </c>
      <c r="CL25" s="220">
        <v>0</v>
      </c>
      <c r="CM25" s="220">
        <v>0</v>
      </c>
      <c r="CN25" s="220">
        <v>0</v>
      </c>
      <c r="CO25" s="220">
        <v>0</v>
      </c>
      <c r="CP25" s="220">
        <v>0</v>
      </c>
      <c r="CQ25" s="220">
        <v>0</v>
      </c>
      <c r="CR25" s="232">
        <v>0</v>
      </c>
    </row>
    <row r="26" spans="1:96" ht="16.5" customHeight="1" hidden="1">
      <c r="A26" s="231" t="s">
        <v>23</v>
      </c>
      <c r="B26" s="215">
        <f>611.3+2091.7</f>
        <v>2703</v>
      </c>
      <c r="C26" s="216">
        <f>1615.48+6563.6</f>
        <v>8179.08</v>
      </c>
      <c r="D26" s="214">
        <f>11023.5+3644.3</f>
        <v>14667.8</v>
      </c>
      <c r="E26" s="214">
        <f>16152.2+4987.9+282.1</f>
        <v>21422.199999999997</v>
      </c>
      <c r="F26" s="214">
        <f>16598.76+6083.3+169.5</f>
        <v>22851.559999999998</v>
      </c>
      <c r="G26" s="214">
        <f>6694.27+15240.31+41</f>
        <v>21975.58</v>
      </c>
      <c r="H26" s="214">
        <f>6871.14+14451.04+7.1</f>
        <v>21329.28</v>
      </c>
      <c r="I26" s="214">
        <f>156.9+23201.91</f>
        <v>23358.81</v>
      </c>
      <c r="J26" s="219">
        <f>168.6+27934.15</f>
        <v>28102.75</v>
      </c>
      <c r="K26" s="219">
        <f>18697.3+37948.8</f>
        <v>56646.100000000006</v>
      </c>
      <c r="L26" s="220">
        <v>78118.8</v>
      </c>
      <c r="M26" s="220">
        <v>77640.8</v>
      </c>
      <c r="N26" s="220">
        <v>76707.037</v>
      </c>
      <c r="O26" s="220">
        <v>80600.383676</v>
      </c>
      <c r="P26" s="220">
        <v>79782.0492</v>
      </c>
      <c r="Q26" s="221">
        <v>84468.90696</v>
      </c>
      <c r="R26" s="220">
        <v>92541.26537</v>
      </c>
      <c r="S26" s="221">
        <v>83541.17678</v>
      </c>
      <c r="T26" s="220">
        <v>83285.3328</v>
      </c>
      <c r="U26" s="220">
        <v>86020.9</v>
      </c>
      <c r="V26" s="221">
        <v>85918.72393</v>
      </c>
      <c r="W26" s="220">
        <v>86912.56996</v>
      </c>
      <c r="X26" s="220">
        <v>89349.75</v>
      </c>
      <c r="Y26" s="220">
        <v>89624.5</v>
      </c>
      <c r="Z26" s="220">
        <v>89654</v>
      </c>
      <c r="AA26" s="220">
        <v>90315.4</v>
      </c>
      <c r="AB26" s="220">
        <v>90726.8</v>
      </c>
      <c r="AC26" s="220">
        <v>89368</v>
      </c>
      <c r="AD26" s="220">
        <v>89923.1</v>
      </c>
      <c r="AE26" s="220">
        <v>92033.8</v>
      </c>
      <c r="AF26" s="220">
        <v>89950.8</v>
      </c>
      <c r="AG26" s="220">
        <v>94964.6</v>
      </c>
      <c r="AH26" s="220">
        <v>97495.02022</v>
      </c>
      <c r="AI26" s="220">
        <v>102420.45</v>
      </c>
      <c r="AJ26" s="220">
        <v>101873.7</v>
      </c>
      <c r="AK26" s="220">
        <v>102601.5</v>
      </c>
      <c r="AL26" s="220">
        <v>102358.8</v>
      </c>
      <c r="AM26" s="220">
        <v>103485.5</v>
      </c>
      <c r="AN26" s="220">
        <v>104268.3</v>
      </c>
      <c r="AO26" s="220">
        <v>105560.75</v>
      </c>
      <c r="AP26" s="220">
        <v>108307.7</v>
      </c>
      <c r="AQ26" s="220">
        <v>108310.9</v>
      </c>
      <c r="AR26" s="220">
        <v>108603.8</v>
      </c>
      <c r="AS26" s="220">
        <v>115796.7</v>
      </c>
      <c r="AT26" s="220">
        <v>121291.6</v>
      </c>
      <c r="AU26" s="220">
        <v>115709.7</v>
      </c>
      <c r="AV26" s="220">
        <v>116459.1</v>
      </c>
      <c r="AW26" s="220">
        <v>117686.4</v>
      </c>
      <c r="AX26" s="220">
        <v>118414.1</v>
      </c>
      <c r="AY26" s="220">
        <v>118033.5</v>
      </c>
      <c r="AZ26" s="220">
        <v>123288</v>
      </c>
      <c r="BA26" s="220">
        <v>116190.14</v>
      </c>
      <c r="BB26" s="220">
        <v>116857.5</v>
      </c>
      <c r="BC26" s="220">
        <v>117375.34</v>
      </c>
      <c r="BD26" s="220">
        <v>118223.6</v>
      </c>
      <c r="BE26" s="220">
        <v>118003.3</v>
      </c>
      <c r="BF26" s="220">
        <v>121636.8</v>
      </c>
      <c r="BG26" s="220">
        <v>124768.1</v>
      </c>
      <c r="BH26" s="220">
        <v>126304.5</v>
      </c>
      <c r="BI26" s="220">
        <v>118330.4</v>
      </c>
      <c r="BJ26" s="220">
        <v>117945.8</v>
      </c>
      <c r="BK26" s="220">
        <v>111385.7</v>
      </c>
      <c r="BL26" s="220">
        <v>111252</v>
      </c>
      <c r="BM26" s="220">
        <v>111690.1</v>
      </c>
      <c r="BN26" s="220">
        <v>115622.3</v>
      </c>
      <c r="BO26" s="220">
        <v>109985.3</v>
      </c>
      <c r="BP26" s="220">
        <v>110235.2</v>
      </c>
      <c r="BQ26" s="220">
        <v>109780.2</v>
      </c>
      <c r="BR26" s="220">
        <v>118895.6</v>
      </c>
      <c r="BS26" s="220">
        <v>119084.1</v>
      </c>
      <c r="BT26" s="220">
        <v>121707.9</v>
      </c>
      <c r="BU26" s="220">
        <v>121743</v>
      </c>
      <c r="BV26" s="220">
        <v>120571.74</v>
      </c>
      <c r="BW26" s="220">
        <v>121611.2</v>
      </c>
      <c r="BX26" s="220">
        <v>121645</v>
      </c>
      <c r="BY26" s="220">
        <v>126913.3</v>
      </c>
      <c r="BZ26" s="220">
        <v>119887.3</v>
      </c>
      <c r="CA26" s="220">
        <v>118224.8</v>
      </c>
      <c r="CB26" s="220">
        <v>117542.3</v>
      </c>
      <c r="CC26" s="220">
        <v>117436.5</v>
      </c>
      <c r="CD26" s="220">
        <v>123021.2</v>
      </c>
      <c r="CE26" s="220">
        <v>123268.4</v>
      </c>
      <c r="CF26" s="220">
        <v>123498.2</v>
      </c>
      <c r="CG26" s="220">
        <v>122293.7</v>
      </c>
      <c r="CH26" s="220">
        <v>122267.8</v>
      </c>
      <c r="CI26" s="220">
        <v>123030.8</v>
      </c>
      <c r="CJ26" s="220">
        <v>123517.1</v>
      </c>
      <c r="CK26" s="220">
        <v>132349.6</v>
      </c>
      <c r="CL26" s="220">
        <v>131984.4</v>
      </c>
      <c r="CM26" s="220">
        <v>131888.1</v>
      </c>
      <c r="CN26" s="220">
        <v>134812.1</v>
      </c>
      <c r="CO26" s="220">
        <v>129757</v>
      </c>
      <c r="CP26" s="220">
        <v>134160.8</v>
      </c>
      <c r="CQ26" s="220">
        <v>135127.35</v>
      </c>
      <c r="CR26" s="232">
        <v>135154</v>
      </c>
    </row>
    <row r="27" spans="1:96" ht="16.5" customHeight="1" hidden="1">
      <c r="A27" s="231" t="s">
        <v>24</v>
      </c>
      <c r="B27" s="215">
        <f>919.7+230.7</f>
        <v>1150.4</v>
      </c>
      <c r="C27" s="216">
        <f>1098.95+122.1</f>
        <v>1221.05</v>
      </c>
      <c r="D27" s="214">
        <v>1425.81</v>
      </c>
      <c r="E27" s="214">
        <v>1951.5</v>
      </c>
      <c r="F27" s="214">
        <v>1287.6</v>
      </c>
      <c r="G27" s="214">
        <v>810.9</v>
      </c>
      <c r="H27" s="214">
        <v>331.5</v>
      </c>
      <c r="I27" s="214">
        <v>35.43</v>
      </c>
      <c r="J27" s="219">
        <f>35.96-15.5</f>
        <v>20.46</v>
      </c>
      <c r="K27" s="219">
        <v>3984.67</v>
      </c>
      <c r="L27" s="220">
        <v>9645.9</v>
      </c>
      <c r="M27" s="220">
        <v>9450.1</v>
      </c>
      <c r="N27" s="220">
        <v>9357.3</v>
      </c>
      <c r="O27" s="220">
        <v>8978.20043</v>
      </c>
      <c r="P27" s="220">
        <v>8682.95384</v>
      </c>
      <c r="Q27" s="221">
        <v>8957.38296</v>
      </c>
      <c r="R27" s="220">
        <v>9126.17914</v>
      </c>
      <c r="S27" s="221">
        <v>9269.71983</v>
      </c>
      <c r="T27" s="220">
        <v>9179.52264</v>
      </c>
      <c r="U27" s="220">
        <v>9754</v>
      </c>
      <c r="V27" s="221">
        <v>9493.13579</v>
      </c>
      <c r="W27" s="220">
        <v>9878.9991</v>
      </c>
      <c r="X27" s="220">
        <v>9977</v>
      </c>
      <c r="Y27" s="220">
        <v>9978.7</v>
      </c>
      <c r="Z27" s="220">
        <v>9797.4</v>
      </c>
      <c r="AA27" s="220">
        <v>9896.3</v>
      </c>
      <c r="AB27" s="220">
        <v>10035.7</v>
      </c>
      <c r="AC27" s="220">
        <v>10572.3</v>
      </c>
      <c r="AD27" s="220">
        <v>10445.4</v>
      </c>
      <c r="AE27" s="220">
        <v>10930.5</v>
      </c>
      <c r="AF27" s="220">
        <v>10506.6</v>
      </c>
      <c r="AG27" s="220">
        <v>10522.2</v>
      </c>
      <c r="AH27" s="220">
        <v>10457.74048</v>
      </c>
      <c r="AI27" s="220">
        <v>10360.85</v>
      </c>
      <c r="AJ27" s="220">
        <v>9522.3</v>
      </c>
      <c r="AK27" s="220">
        <v>9167.9</v>
      </c>
      <c r="AL27" s="220">
        <v>9285.4</v>
      </c>
      <c r="AM27" s="220">
        <v>8946.5</v>
      </c>
      <c r="AN27" s="220">
        <v>8644.4</v>
      </c>
      <c r="AO27" s="220">
        <v>8058.5</v>
      </c>
      <c r="AP27" s="220">
        <v>7643.7</v>
      </c>
      <c r="AQ27" s="220">
        <v>7477.1</v>
      </c>
      <c r="AR27" s="220">
        <v>6867.6</v>
      </c>
      <c r="AS27" s="220">
        <v>6311.5</v>
      </c>
      <c r="AT27" s="220">
        <v>6215.7</v>
      </c>
      <c r="AU27" s="220">
        <v>5557.7</v>
      </c>
      <c r="AV27" s="220">
        <v>5047.7</v>
      </c>
      <c r="AW27" s="220">
        <v>5103.7</v>
      </c>
      <c r="AX27" s="220">
        <v>4371.7</v>
      </c>
      <c r="AY27" s="220">
        <v>3786.6</v>
      </c>
      <c r="AZ27" s="220">
        <v>3783.2</v>
      </c>
      <c r="BA27" s="220">
        <v>3098.8</v>
      </c>
      <c r="BB27" s="220">
        <v>2559.4</v>
      </c>
      <c r="BC27" s="220">
        <v>2604.4</v>
      </c>
      <c r="BD27" s="220">
        <v>1927.9</v>
      </c>
      <c r="BE27" s="220">
        <v>1412</v>
      </c>
      <c r="BF27" s="220">
        <v>1410.2</v>
      </c>
      <c r="BG27" s="220">
        <v>706.6</v>
      </c>
      <c r="BH27" s="220">
        <v>743.6</v>
      </c>
      <c r="BI27" s="220">
        <v>750.8</v>
      </c>
      <c r="BJ27" s="220">
        <v>0</v>
      </c>
      <c r="BK27" s="220">
        <v>0</v>
      </c>
      <c r="BL27" s="220">
        <v>0</v>
      </c>
      <c r="BM27" s="220">
        <v>0</v>
      </c>
      <c r="BN27" s="220">
        <v>0</v>
      </c>
      <c r="BO27" s="220">
        <v>0</v>
      </c>
      <c r="BP27" s="220">
        <v>0</v>
      </c>
      <c r="BQ27" s="220">
        <v>0</v>
      </c>
      <c r="BR27" s="220">
        <v>0</v>
      </c>
      <c r="BS27" s="220">
        <v>0</v>
      </c>
      <c r="BT27" s="220">
        <v>14.3</v>
      </c>
      <c r="BU27" s="220">
        <v>0</v>
      </c>
      <c r="BV27" s="220">
        <v>0</v>
      </c>
      <c r="BW27" s="220">
        <v>0</v>
      </c>
      <c r="BX27" s="220">
        <v>0</v>
      </c>
      <c r="BY27" s="220">
        <v>0</v>
      </c>
      <c r="BZ27" s="220">
        <v>0</v>
      </c>
      <c r="CA27" s="220">
        <v>0</v>
      </c>
      <c r="CB27" s="220">
        <v>0</v>
      </c>
      <c r="CC27" s="220">
        <v>0</v>
      </c>
      <c r="CD27" s="220">
        <v>0</v>
      </c>
      <c r="CE27" s="220">
        <v>0</v>
      </c>
      <c r="CF27" s="220">
        <v>9.6</v>
      </c>
      <c r="CG27" s="220">
        <v>0</v>
      </c>
      <c r="CH27" s="220">
        <v>0</v>
      </c>
      <c r="CI27" s="220">
        <v>0</v>
      </c>
      <c r="CJ27" s="220">
        <v>0</v>
      </c>
      <c r="CK27" s="220">
        <v>0</v>
      </c>
      <c r="CL27" s="220">
        <v>0</v>
      </c>
      <c r="CM27" s="220">
        <v>0</v>
      </c>
      <c r="CN27" s="220">
        <v>0</v>
      </c>
      <c r="CO27" s="220">
        <v>0</v>
      </c>
      <c r="CP27" s="220">
        <v>0</v>
      </c>
      <c r="CQ27" s="220">
        <v>0</v>
      </c>
      <c r="CR27" s="232">
        <v>0</v>
      </c>
    </row>
    <row r="28" spans="1:96" ht="16.5" customHeight="1" hidden="1">
      <c r="A28" s="231" t="s">
        <v>25</v>
      </c>
      <c r="B28" s="215">
        <f>159.9+84.97</f>
        <v>244.87</v>
      </c>
      <c r="C28" s="216">
        <f>60.367+404.82</f>
        <v>465.187</v>
      </c>
      <c r="D28" s="214">
        <f>71.9+519.6</f>
        <v>591.5</v>
      </c>
      <c r="E28" s="214">
        <f>409.5+188.96</f>
        <v>598.46</v>
      </c>
      <c r="F28" s="214">
        <f>174.9+376.5</f>
        <v>551.4</v>
      </c>
      <c r="G28" s="214">
        <f>149.9+319.4</f>
        <v>469.29999999999995</v>
      </c>
      <c r="H28" s="214">
        <f>121.91+240.22</f>
        <v>362.13</v>
      </c>
      <c r="I28" s="214">
        <f>127.31+200.04</f>
        <v>327.35</v>
      </c>
      <c r="J28" s="219">
        <f>193.57+113.21</f>
        <v>306.78</v>
      </c>
      <c r="K28" s="219">
        <f>78.54+157</f>
        <v>235.54000000000002</v>
      </c>
      <c r="L28" s="220">
        <v>180.01</v>
      </c>
      <c r="M28" s="220">
        <v>190.6</v>
      </c>
      <c r="N28" s="220">
        <v>182.5095</v>
      </c>
      <c r="O28" s="220">
        <v>173.738443</v>
      </c>
      <c r="P28" s="220">
        <v>173.56944</v>
      </c>
      <c r="Q28" s="221">
        <v>168.9528</v>
      </c>
      <c r="R28" s="220">
        <v>176.13856</v>
      </c>
      <c r="S28" s="221">
        <v>186.5732</v>
      </c>
      <c r="T28" s="220">
        <v>173.55708</v>
      </c>
      <c r="U28" s="220">
        <v>169.7</v>
      </c>
      <c r="V28" s="221">
        <v>154.80994</v>
      </c>
      <c r="W28" s="220">
        <v>138.01863</v>
      </c>
      <c r="X28" s="220">
        <v>138.2304</v>
      </c>
      <c r="Y28" s="220">
        <v>140.3</v>
      </c>
      <c r="Z28" s="220">
        <v>140.5</v>
      </c>
      <c r="AA28" s="220">
        <v>141.4</v>
      </c>
      <c r="AB28" s="220">
        <v>142.5</v>
      </c>
      <c r="AC28" s="220">
        <v>127.3</v>
      </c>
      <c r="AD28" s="220">
        <v>126.8</v>
      </c>
      <c r="AE28" s="220">
        <v>130.2</v>
      </c>
      <c r="AF28" s="220">
        <v>127.1</v>
      </c>
      <c r="AG28" s="220">
        <v>128.3</v>
      </c>
      <c r="AH28" s="220">
        <v>128.36314</v>
      </c>
      <c r="AI28" s="220">
        <v>110.4</v>
      </c>
      <c r="AJ28" s="220">
        <v>101.2</v>
      </c>
      <c r="AK28" s="220">
        <v>104.7</v>
      </c>
      <c r="AL28" s="220">
        <v>105.7</v>
      </c>
      <c r="AM28" s="220">
        <v>107.3</v>
      </c>
      <c r="AN28" s="220">
        <v>104.2</v>
      </c>
      <c r="AO28" s="220">
        <v>96.8</v>
      </c>
      <c r="AP28" s="220">
        <v>90.1</v>
      </c>
      <c r="AQ28" s="220">
        <v>89.4</v>
      </c>
      <c r="AR28" s="220">
        <v>89.6</v>
      </c>
      <c r="AS28" s="220">
        <v>91</v>
      </c>
      <c r="AT28" s="220">
        <v>89.5</v>
      </c>
      <c r="AU28" s="220">
        <v>89.7</v>
      </c>
      <c r="AV28" s="220">
        <v>82.3</v>
      </c>
      <c r="AW28" s="220">
        <v>82.3</v>
      </c>
      <c r="AX28" s="220">
        <v>82.8</v>
      </c>
      <c r="AY28" s="220">
        <v>82</v>
      </c>
      <c r="AZ28" s="220">
        <v>81.9</v>
      </c>
      <c r="BA28" s="220">
        <v>80.9</v>
      </c>
      <c r="BB28" s="220">
        <v>71.9</v>
      </c>
      <c r="BC28" s="220">
        <v>72</v>
      </c>
      <c r="BD28" s="220">
        <v>72.8</v>
      </c>
      <c r="BE28" s="220">
        <v>72.8</v>
      </c>
      <c r="BF28" s="220">
        <v>72.8</v>
      </c>
      <c r="BG28" s="220">
        <v>64.2</v>
      </c>
      <c r="BH28" s="220">
        <v>65</v>
      </c>
      <c r="BI28" s="220">
        <v>73.7</v>
      </c>
      <c r="BJ28" s="220">
        <v>72.3</v>
      </c>
      <c r="BK28" s="220">
        <v>73.2</v>
      </c>
      <c r="BL28" s="220">
        <v>72.9</v>
      </c>
      <c r="BM28" s="220">
        <v>63.5</v>
      </c>
      <c r="BN28" s="220">
        <v>64</v>
      </c>
      <c r="BO28" s="220">
        <v>61.7</v>
      </c>
      <c r="BP28" s="220">
        <v>60.7</v>
      </c>
      <c r="BQ28" s="220">
        <v>60.1</v>
      </c>
      <c r="BR28" s="220">
        <v>60.3</v>
      </c>
      <c r="BS28" s="220">
        <v>50.2</v>
      </c>
      <c r="BT28" s="220">
        <v>51.9</v>
      </c>
      <c r="BU28" s="220">
        <v>50.8</v>
      </c>
      <c r="BV28" s="220">
        <v>50.94</v>
      </c>
      <c r="BW28" s="220">
        <v>51</v>
      </c>
      <c r="BX28" s="220">
        <v>50.6</v>
      </c>
      <c r="BY28" s="220">
        <v>40.6</v>
      </c>
      <c r="BZ28" s="220">
        <v>41.1</v>
      </c>
      <c r="CA28" s="220">
        <v>40.6</v>
      </c>
      <c r="CB28" s="220">
        <v>40.1</v>
      </c>
      <c r="CC28" s="220">
        <v>40.5</v>
      </c>
      <c r="CD28" s="220">
        <v>41</v>
      </c>
      <c r="CE28" s="220">
        <v>30.7</v>
      </c>
      <c r="CF28" s="220">
        <v>31</v>
      </c>
      <c r="CG28" s="220">
        <v>31.1</v>
      </c>
      <c r="CH28" s="220">
        <v>31.2</v>
      </c>
      <c r="CI28" s="220">
        <v>31.4</v>
      </c>
      <c r="CJ28" s="220">
        <v>30.8</v>
      </c>
      <c r="CK28" s="220">
        <v>24.7</v>
      </c>
      <c r="CL28" s="220">
        <v>23.7</v>
      </c>
      <c r="CM28" s="220">
        <v>23.7</v>
      </c>
      <c r="CN28" s="220">
        <v>23.4</v>
      </c>
      <c r="CO28" s="220">
        <v>23.5</v>
      </c>
      <c r="CP28" s="220">
        <v>23.5</v>
      </c>
      <c r="CQ28" s="220">
        <v>17.6</v>
      </c>
      <c r="CR28" s="232">
        <v>17.7</v>
      </c>
    </row>
    <row r="29" spans="1:96" ht="16.5" customHeight="1" hidden="1">
      <c r="A29" s="231" t="s">
        <v>26</v>
      </c>
      <c r="B29" s="215">
        <f>403.11+128.5</f>
        <v>531.61</v>
      </c>
      <c r="C29" s="216">
        <f>286.43+137.43</f>
        <v>423.86</v>
      </c>
      <c r="D29" s="214">
        <v>0</v>
      </c>
      <c r="E29" s="214">
        <v>0</v>
      </c>
      <c r="F29" s="214">
        <v>0</v>
      </c>
      <c r="G29" s="214">
        <v>0</v>
      </c>
      <c r="H29" s="214">
        <v>0</v>
      </c>
      <c r="I29" s="214">
        <v>0</v>
      </c>
      <c r="J29" s="219">
        <v>0</v>
      </c>
      <c r="K29" s="219">
        <v>0</v>
      </c>
      <c r="L29" s="220">
        <v>0</v>
      </c>
      <c r="M29" s="220">
        <v>0</v>
      </c>
      <c r="N29" s="220">
        <v>0</v>
      </c>
      <c r="O29" s="220">
        <v>0</v>
      </c>
      <c r="P29" s="220">
        <v>0</v>
      </c>
      <c r="Q29" s="222">
        <v>0</v>
      </c>
      <c r="R29" s="220">
        <v>0</v>
      </c>
      <c r="S29" s="221">
        <v>0</v>
      </c>
      <c r="T29" s="220">
        <v>0</v>
      </c>
      <c r="U29" s="220">
        <v>0</v>
      </c>
      <c r="V29" s="221">
        <v>0</v>
      </c>
      <c r="W29" s="220">
        <v>0</v>
      </c>
      <c r="X29" s="220">
        <v>0</v>
      </c>
      <c r="Y29" s="220">
        <v>0</v>
      </c>
      <c r="Z29" s="220">
        <v>0</v>
      </c>
      <c r="AA29" s="220">
        <v>0</v>
      </c>
      <c r="AB29" s="220">
        <v>0</v>
      </c>
      <c r="AC29" s="220">
        <v>0</v>
      </c>
      <c r="AD29" s="220">
        <v>0</v>
      </c>
      <c r="AE29" s="220">
        <v>0</v>
      </c>
      <c r="AF29" s="220">
        <v>0</v>
      </c>
      <c r="AG29" s="220">
        <v>0</v>
      </c>
      <c r="AH29" s="220">
        <v>0</v>
      </c>
      <c r="AI29" s="220">
        <v>0</v>
      </c>
      <c r="AJ29" s="220">
        <v>0</v>
      </c>
      <c r="AK29" s="220">
        <v>0</v>
      </c>
      <c r="AL29" s="220">
        <v>0</v>
      </c>
      <c r="AM29" s="220">
        <v>0</v>
      </c>
      <c r="AN29" s="220">
        <v>0</v>
      </c>
      <c r="AO29" s="220">
        <v>0</v>
      </c>
      <c r="AP29" s="220">
        <v>0</v>
      </c>
      <c r="AQ29" s="220">
        <v>0</v>
      </c>
      <c r="AR29" s="220">
        <v>0</v>
      </c>
      <c r="AS29" s="220">
        <v>0</v>
      </c>
      <c r="AT29" s="220">
        <v>0</v>
      </c>
      <c r="AU29" s="220">
        <v>0</v>
      </c>
      <c r="AV29" s="220">
        <v>0</v>
      </c>
      <c r="AW29" s="220">
        <v>0</v>
      </c>
      <c r="AX29" s="220">
        <v>0</v>
      </c>
      <c r="AY29" s="220">
        <v>0</v>
      </c>
      <c r="AZ29" s="220">
        <v>0</v>
      </c>
      <c r="BA29" s="220">
        <v>0</v>
      </c>
      <c r="BB29" s="220">
        <v>0</v>
      </c>
      <c r="BC29" s="220">
        <v>0</v>
      </c>
      <c r="BD29" s="220">
        <v>0</v>
      </c>
      <c r="BE29" s="220">
        <v>0</v>
      </c>
      <c r="BF29" s="220">
        <v>0</v>
      </c>
      <c r="BG29" s="220">
        <v>0</v>
      </c>
      <c r="BH29" s="220">
        <v>0</v>
      </c>
      <c r="BI29" s="220">
        <v>0</v>
      </c>
      <c r="BJ29" s="220">
        <v>0</v>
      </c>
      <c r="BK29" s="220">
        <v>0</v>
      </c>
      <c r="BL29" s="220">
        <v>0</v>
      </c>
      <c r="BM29" s="220">
        <v>0</v>
      </c>
      <c r="BN29" s="220">
        <v>0</v>
      </c>
      <c r="BO29" s="220">
        <v>0</v>
      </c>
      <c r="BP29" s="220">
        <v>0</v>
      </c>
      <c r="BQ29" s="220">
        <v>0</v>
      </c>
      <c r="BR29" s="220">
        <v>0</v>
      </c>
      <c r="BS29" s="220">
        <v>0</v>
      </c>
      <c r="BT29" s="220">
        <v>0</v>
      </c>
      <c r="BU29" s="220">
        <v>0</v>
      </c>
      <c r="BV29" s="220">
        <v>0</v>
      </c>
      <c r="BW29" s="220">
        <v>0</v>
      </c>
      <c r="BX29" s="220">
        <v>0</v>
      </c>
      <c r="BY29" s="220">
        <v>0</v>
      </c>
      <c r="BZ29" s="220">
        <v>0</v>
      </c>
      <c r="CA29" s="220">
        <v>0</v>
      </c>
      <c r="CB29" s="220">
        <v>0</v>
      </c>
      <c r="CC29" s="220">
        <v>0</v>
      </c>
      <c r="CD29" s="220">
        <v>0</v>
      </c>
      <c r="CE29" s="220">
        <v>0</v>
      </c>
      <c r="CF29" s="220">
        <v>0</v>
      </c>
      <c r="CG29" s="220">
        <v>0</v>
      </c>
      <c r="CH29" s="220">
        <v>0</v>
      </c>
      <c r="CI29" s="220">
        <v>0</v>
      </c>
      <c r="CJ29" s="220">
        <v>0</v>
      </c>
      <c r="CK29" s="220">
        <v>0</v>
      </c>
      <c r="CL29" s="220">
        <v>0</v>
      </c>
      <c r="CM29" s="220">
        <v>0</v>
      </c>
      <c r="CN29" s="220">
        <v>0</v>
      </c>
      <c r="CO29" s="220">
        <v>0</v>
      </c>
      <c r="CP29" s="220">
        <v>0</v>
      </c>
      <c r="CQ29" s="220">
        <v>0</v>
      </c>
      <c r="CR29" s="232">
        <v>0</v>
      </c>
    </row>
    <row r="30" spans="1:96" ht="16.5" customHeight="1" hidden="1">
      <c r="A30" s="231" t="s">
        <v>27</v>
      </c>
      <c r="B30" s="215">
        <v>0</v>
      </c>
      <c r="C30" s="216">
        <v>0</v>
      </c>
      <c r="D30" s="214">
        <v>0</v>
      </c>
      <c r="E30" s="214">
        <v>415.34</v>
      </c>
      <c r="F30" s="214">
        <v>562.8</v>
      </c>
      <c r="G30" s="214">
        <v>844.25</v>
      </c>
      <c r="H30" s="214">
        <v>802.81558</v>
      </c>
      <c r="I30" s="214">
        <v>887.3</v>
      </c>
      <c r="J30" s="219">
        <v>714.93</v>
      </c>
      <c r="K30" s="219">
        <v>623.19</v>
      </c>
      <c r="L30" s="220">
        <v>806.8</v>
      </c>
      <c r="M30" s="220">
        <v>783.3</v>
      </c>
      <c r="N30" s="220">
        <v>783.99</v>
      </c>
      <c r="O30" s="220">
        <v>750.00043</v>
      </c>
      <c r="P30" s="220">
        <v>724.42832</v>
      </c>
      <c r="Q30" s="221">
        <v>739.27152</v>
      </c>
      <c r="R30" s="220">
        <v>727.84179</v>
      </c>
      <c r="S30" s="221">
        <v>750.5331</v>
      </c>
      <c r="T30" s="220">
        <v>718.29828</v>
      </c>
      <c r="U30" s="220">
        <v>741.4</v>
      </c>
      <c r="V30" s="221">
        <v>744.64446</v>
      </c>
      <c r="W30" s="220">
        <v>762.80328</v>
      </c>
      <c r="X30" s="220">
        <v>750.8</v>
      </c>
      <c r="Y30" s="220">
        <v>756.6</v>
      </c>
      <c r="Z30" s="220">
        <v>750.1</v>
      </c>
      <c r="AA30" s="220">
        <v>756.3</v>
      </c>
      <c r="AB30" s="220">
        <v>776.5</v>
      </c>
      <c r="AC30" s="220">
        <v>803.3</v>
      </c>
      <c r="AD30" s="220">
        <v>753.7</v>
      </c>
      <c r="AE30" s="220">
        <v>813.35</v>
      </c>
      <c r="AF30" s="220">
        <v>782.2</v>
      </c>
      <c r="AG30" s="220">
        <v>782</v>
      </c>
      <c r="AH30" s="220">
        <v>764.2823</v>
      </c>
      <c r="AI30" s="220">
        <v>764.7</v>
      </c>
      <c r="AJ30" s="220">
        <v>700.4</v>
      </c>
      <c r="AK30" s="220">
        <v>669.73</v>
      </c>
      <c r="AL30" s="220">
        <v>676</v>
      </c>
      <c r="AM30" s="220">
        <v>703.4</v>
      </c>
      <c r="AN30" s="220">
        <v>679.34</v>
      </c>
      <c r="AO30" s="220">
        <v>677.1</v>
      </c>
      <c r="AP30" s="220">
        <v>641.23</v>
      </c>
      <c r="AQ30" s="220">
        <v>633.4</v>
      </c>
      <c r="AR30" s="220">
        <v>625.6</v>
      </c>
      <c r="AS30" s="220">
        <v>630.7</v>
      </c>
      <c r="AT30" s="220">
        <v>610.5</v>
      </c>
      <c r="AU30" s="220">
        <v>606.2</v>
      </c>
      <c r="AV30" s="220">
        <v>567.9</v>
      </c>
      <c r="AW30" s="220">
        <v>551.4</v>
      </c>
      <c r="AX30" s="220">
        <v>544.44</v>
      </c>
      <c r="AY30" s="220">
        <v>542.7</v>
      </c>
      <c r="AZ30" s="220">
        <v>545.6</v>
      </c>
      <c r="BA30" s="220">
        <v>554.2</v>
      </c>
      <c r="BB30" s="220">
        <v>526</v>
      </c>
      <c r="BC30" s="220">
        <v>528.94</v>
      </c>
      <c r="BD30" s="220">
        <v>539.7</v>
      </c>
      <c r="BE30" s="220">
        <v>547.9</v>
      </c>
      <c r="BF30" s="220">
        <v>547.84</v>
      </c>
      <c r="BG30" s="220">
        <v>545.1</v>
      </c>
      <c r="BH30" s="220">
        <v>521.8</v>
      </c>
      <c r="BI30" s="220">
        <v>506.9</v>
      </c>
      <c r="BJ30" s="220">
        <v>518.8</v>
      </c>
      <c r="BK30" s="220">
        <v>528.7</v>
      </c>
      <c r="BL30" s="220">
        <v>538.3</v>
      </c>
      <c r="BM30" s="220">
        <v>532.7</v>
      </c>
      <c r="BN30" s="220">
        <v>493.4</v>
      </c>
      <c r="BO30" s="220">
        <v>470.7</v>
      </c>
      <c r="BP30" s="220">
        <v>456.1</v>
      </c>
      <c r="BQ30" s="220">
        <v>449.2</v>
      </c>
      <c r="BR30" s="220">
        <v>468.9</v>
      </c>
      <c r="BS30" s="220">
        <v>481.5</v>
      </c>
      <c r="BT30" s="220">
        <v>424.1</v>
      </c>
      <c r="BU30" s="220">
        <v>418.85</v>
      </c>
      <c r="BV30" s="220">
        <v>429</v>
      </c>
      <c r="BW30" s="220">
        <v>431.73</v>
      </c>
      <c r="BX30" s="220">
        <v>446.8</v>
      </c>
      <c r="BY30" s="220">
        <v>440.34</v>
      </c>
      <c r="BZ30" s="220">
        <v>411.4</v>
      </c>
      <c r="CA30" s="220">
        <v>400.1</v>
      </c>
      <c r="CB30" s="220">
        <v>399.9</v>
      </c>
      <c r="CC30" s="220">
        <v>396.7</v>
      </c>
      <c r="CD30" s="220">
        <v>402.8</v>
      </c>
      <c r="CE30" s="220">
        <v>415.5</v>
      </c>
      <c r="CF30" s="220">
        <v>383.6</v>
      </c>
      <c r="CG30" s="220">
        <v>385.5</v>
      </c>
      <c r="CH30" s="220">
        <v>388.8</v>
      </c>
      <c r="CI30" s="220">
        <v>383.6</v>
      </c>
      <c r="CJ30" s="220">
        <v>365.4</v>
      </c>
      <c r="CK30" s="220">
        <v>365.2</v>
      </c>
      <c r="CL30" s="220">
        <v>335.6</v>
      </c>
      <c r="CM30" s="220">
        <v>340.6</v>
      </c>
      <c r="CN30" s="220">
        <v>334.15</v>
      </c>
      <c r="CO30" s="220">
        <v>342.5</v>
      </c>
      <c r="CP30" s="220">
        <v>336.2</v>
      </c>
      <c r="CQ30" s="220">
        <v>333.3</v>
      </c>
      <c r="CR30" s="232">
        <v>305.2</v>
      </c>
    </row>
    <row r="31" spans="1:96" ht="15" hidden="1">
      <c r="A31" s="231" t="s">
        <v>28</v>
      </c>
      <c r="B31" s="215">
        <v>112.24</v>
      </c>
      <c r="C31" s="216">
        <v>97.3</v>
      </c>
      <c r="D31" s="214">
        <v>0</v>
      </c>
      <c r="E31" s="214">
        <v>0</v>
      </c>
      <c r="F31" s="214">
        <v>0</v>
      </c>
      <c r="G31" s="214">
        <v>0</v>
      </c>
      <c r="H31" s="214">
        <v>0</v>
      </c>
      <c r="I31" s="214">
        <v>0</v>
      </c>
      <c r="J31" s="219">
        <v>0</v>
      </c>
      <c r="K31" s="219">
        <v>0</v>
      </c>
      <c r="L31" s="220">
        <v>0</v>
      </c>
      <c r="M31" s="220">
        <v>0</v>
      </c>
      <c r="N31" s="220">
        <v>0</v>
      </c>
      <c r="O31" s="220">
        <v>0</v>
      </c>
      <c r="P31" s="220">
        <v>0</v>
      </c>
      <c r="Q31" s="221">
        <v>0</v>
      </c>
      <c r="R31" s="220">
        <v>0</v>
      </c>
      <c r="S31" s="221">
        <v>0</v>
      </c>
      <c r="T31" s="220">
        <v>0</v>
      </c>
      <c r="U31" s="220">
        <v>0</v>
      </c>
      <c r="V31" s="221">
        <v>0</v>
      </c>
      <c r="W31" s="220">
        <v>0</v>
      </c>
      <c r="X31" s="220">
        <v>0</v>
      </c>
      <c r="Y31" s="220">
        <v>0</v>
      </c>
      <c r="Z31" s="220">
        <v>0</v>
      </c>
      <c r="AA31" s="220">
        <v>0</v>
      </c>
      <c r="AB31" s="220">
        <v>0</v>
      </c>
      <c r="AC31" s="220">
        <v>0</v>
      </c>
      <c r="AD31" s="220">
        <v>0</v>
      </c>
      <c r="AE31" s="220">
        <v>0</v>
      </c>
      <c r="AF31" s="220">
        <v>0</v>
      </c>
      <c r="AG31" s="220">
        <v>0</v>
      </c>
      <c r="AH31" s="220">
        <v>0</v>
      </c>
      <c r="AI31" s="220">
        <v>0</v>
      </c>
      <c r="AJ31" s="220">
        <v>0</v>
      </c>
      <c r="AK31" s="220">
        <v>0</v>
      </c>
      <c r="AL31" s="220">
        <v>0</v>
      </c>
      <c r="AM31" s="220">
        <v>0</v>
      </c>
      <c r="AN31" s="220">
        <v>0</v>
      </c>
      <c r="AO31" s="220">
        <v>0</v>
      </c>
      <c r="AP31" s="220">
        <v>0</v>
      </c>
      <c r="AQ31" s="220">
        <v>0</v>
      </c>
      <c r="AR31" s="220">
        <v>0</v>
      </c>
      <c r="AS31" s="220">
        <v>0</v>
      </c>
      <c r="AT31" s="220">
        <v>0</v>
      </c>
      <c r="AU31" s="220">
        <v>0</v>
      </c>
      <c r="AV31" s="220">
        <v>0</v>
      </c>
      <c r="AW31" s="220">
        <v>0</v>
      </c>
      <c r="AX31" s="220">
        <v>0</v>
      </c>
      <c r="AY31" s="220">
        <v>0</v>
      </c>
      <c r="AZ31" s="220">
        <v>0</v>
      </c>
      <c r="BA31" s="220">
        <v>0</v>
      </c>
      <c r="BB31" s="220">
        <v>0</v>
      </c>
      <c r="BC31" s="220">
        <v>0</v>
      </c>
      <c r="BD31" s="220">
        <v>0</v>
      </c>
      <c r="BE31" s="220">
        <v>0</v>
      </c>
      <c r="BF31" s="220">
        <v>0</v>
      </c>
      <c r="BG31" s="220">
        <v>0</v>
      </c>
      <c r="BH31" s="220">
        <v>0</v>
      </c>
      <c r="BI31" s="220">
        <v>0</v>
      </c>
      <c r="BJ31" s="220">
        <v>0</v>
      </c>
      <c r="BK31" s="220">
        <v>0</v>
      </c>
      <c r="BL31" s="220">
        <v>0</v>
      </c>
      <c r="BM31" s="220">
        <v>0</v>
      </c>
      <c r="BN31" s="220">
        <v>0</v>
      </c>
      <c r="BO31" s="220">
        <v>0</v>
      </c>
      <c r="BP31" s="220">
        <v>0</v>
      </c>
      <c r="BQ31" s="220">
        <v>0</v>
      </c>
      <c r="BR31" s="220">
        <v>0</v>
      </c>
      <c r="BS31" s="220">
        <v>0</v>
      </c>
      <c r="BT31" s="220">
        <v>0</v>
      </c>
      <c r="BU31" s="220">
        <v>0</v>
      </c>
      <c r="BV31" s="220">
        <v>0</v>
      </c>
      <c r="BW31" s="220">
        <v>0</v>
      </c>
      <c r="BX31" s="220">
        <v>0</v>
      </c>
      <c r="BY31" s="220">
        <v>0</v>
      </c>
      <c r="BZ31" s="220">
        <v>0</v>
      </c>
      <c r="CA31" s="220">
        <v>0</v>
      </c>
      <c r="CB31" s="220">
        <v>0</v>
      </c>
      <c r="CC31" s="220">
        <v>0</v>
      </c>
      <c r="CD31" s="220">
        <v>0</v>
      </c>
      <c r="CE31" s="220">
        <v>0</v>
      </c>
      <c r="CF31" s="220">
        <v>0</v>
      </c>
      <c r="CG31" s="220">
        <v>0</v>
      </c>
      <c r="CH31" s="220">
        <v>0</v>
      </c>
      <c r="CI31" s="220">
        <v>0</v>
      </c>
      <c r="CJ31" s="220">
        <v>0</v>
      </c>
      <c r="CK31" s="220">
        <v>0</v>
      </c>
      <c r="CL31" s="220">
        <v>0</v>
      </c>
      <c r="CM31" s="220">
        <v>0</v>
      </c>
      <c r="CN31" s="220">
        <v>0</v>
      </c>
      <c r="CO31" s="220">
        <v>0</v>
      </c>
      <c r="CP31" s="220">
        <v>0</v>
      </c>
      <c r="CQ31" s="220">
        <v>0</v>
      </c>
      <c r="CR31" s="232">
        <v>0</v>
      </c>
    </row>
    <row r="32" spans="1:96" ht="16.5" customHeight="1" hidden="1">
      <c r="A32" s="231" t="s">
        <v>29</v>
      </c>
      <c r="B32" s="215">
        <f>14.8+944.5</f>
        <v>959.3</v>
      </c>
      <c r="C32" s="216">
        <f>123.14+259.95</f>
        <v>383.09</v>
      </c>
      <c r="D32" s="214">
        <f>158.03+344.3</f>
        <v>502.33000000000004</v>
      </c>
      <c r="E32" s="214">
        <f>549.8+319.97</f>
        <v>869.77</v>
      </c>
      <c r="F32" s="214">
        <f>431.7+555.92</f>
        <v>987.6199999999999</v>
      </c>
      <c r="G32" s="214">
        <f>667.54+641.73</f>
        <v>1309.27</v>
      </c>
      <c r="H32" s="214">
        <f>489.64+790.32</f>
        <v>1279.96</v>
      </c>
      <c r="I32" s="214">
        <f>107.1+1203.41</f>
        <v>1310.51</v>
      </c>
      <c r="J32" s="219">
        <f>118.5+1795.48</f>
        <v>1913.98</v>
      </c>
      <c r="K32" s="219">
        <f>1818.92+85.95</f>
        <v>1904.8700000000001</v>
      </c>
      <c r="L32" s="220">
        <v>2542.56</v>
      </c>
      <c r="M32" s="220">
        <v>2447</v>
      </c>
      <c r="N32" s="220">
        <v>2391.591</v>
      </c>
      <c r="O32" s="220">
        <v>2206.268407</v>
      </c>
      <c r="P32" s="220">
        <v>2143.54184</v>
      </c>
      <c r="Q32" s="221">
        <v>2241.30312</v>
      </c>
      <c r="R32" s="220">
        <v>2333.83592</v>
      </c>
      <c r="S32" s="221">
        <v>2462.76624</v>
      </c>
      <c r="T32" s="220">
        <v>2464.84836</v>
      </c>
      <c r="U32" s="220">
        <v>2716.9</v>
      </c>
      <c r="V32" s="221">
        <v>2587.66112</v>
      </c>
      <c r="W32" s="220">
        <v>2785.18983</v>
      </c>
      <c r="X32" s="220">
        <v>2840</v>
      </c>
      <c r="Y32" s="220">
        <v>2856.2</v>
      </c>
      <c r="Z32" s="220">
        <v>2642.6</v>
      </c>
      <c r="AA32" s="220">
        <v>2612.6</v>
      </c>
      <c r="AB32" s="220">
        <v>2727</v>
      </c>
      <c r="AC32" s="220">
        <v>3000.6</v>
      </c>
      <c r="AD32" s="220">
        <v>2960.2</v>
      </c>
      <c r="AE32" s="220">
        <v>3160.65</v>
      </c>
      <c r="AF32" s="220">
        <v>2973.6</v>
      </c>
      <c r="AG32" s="220">
        <v>2936.5</v>
      </c>
      <c r="AH32" s="220">
        <v>2849.38956</v>
      </c>
      <c r="AI32" s="220">
        <v>2771.1</v>
      </c>
      <c r="AJ32" s="220">
        <v>2543.4</v>
      </c>
      <c r="AK32" s="220">
        <v>2318.53</v>
      </c>
      <c r="AL32" s="220">
        <v>2341.8</v>
      </c>
      <c r="AM32" s="220">
        <v>2389.6</v>
      </c>
      <c r="AN32" s="220">
        <v>2217.64</v>
      </c>
      <c r="AO32" s="220">
        <v>2185.8</v>
      </c>
      <c r="AP32" s="220">
        <v>2237.44</v>
      </c>
      <c r="AQ32" s="220">
        <v>2206.4</v>
      </c>
      <c r="AR32" s="220">
        <v>2205</v>
      </c>
      <c r="AS32" s="220">
        <v>2163.3</v>
      </c>
      <c r="AT32" s="220">
        <v>2123.6</v>
      </c>
      <c r="AU32" s="220">
        <v>2060.7</v>
      </c>
      <c r="AV32" s="220">
        <v>1991.5</v>
      </c>
      <c r="AW32" s="220">
        <v>2084.3</v>
      </c>
      <c r="AX32" s="220">
        <v>2039.64</v>
      </c>
      <c r="AY32" s="220">
        <v>1978.2</v>
      </c>
      <c r="AZ32" s="220">
        <v>1987.5</v>
      </c>
      <c r="BA32" s="220">
        <v>2014.1</v>
      </c>
      <c r="BB32" s="220">
        <v>1992.1</v>
      </c>
      <c r="BC32" s="220">
        <v>2017.64</v>
      </c>
      <c r="BD32" s="220">
        <v>2007.3</v>
      </c>
      <c r="BE32" s="220">
        <v>1978.5</v>
      </c>
      <c r="BF32" s="220">
        <v>1944.84</v>
      </c>
      <c r="BG32" s="220">
        <v>1862.8</v>
      </c>
      <c r="BH32" s="220">
        <v>1898</v>
      </c>
      <c r="BI32" s="220">
        <v>2047.9</v>
      </c>
      <c r="BJ32" s="220">
        <v>2018.9</v>
      </c>
      <c r="BK32" s="220">
        <v>2049.7</v>
      </c>
      <c r="BL32" s="220">
        <v>1989.5</v>
      </c>
      <c r="BM32" s="220">
        <v>1958.3</v>
      </c>
      <c r="BN32" s="220">
        <v>1944.6</v>
      </c>
      <c r="BO32" s="220">
        <v>1924.5</v>
      </c>
      <c r="BP32" s="220">
        <v>1922.1</v>
      </c>
      <c r="BQ32" s="220">
        <v>1900.5</v>
      </c>
      <c r="BR32" s="220">
        <v>1956.8</v>
      </c>
      <c r="BS32" s="220">
        <v>2002.9</v>
      </c>
      <c r="BT32" s="220">
        <v>2012.1</v>
      </c>
      <c r="BU32" s="220">
        <v>2014.75</v>
      </c>
      <c r="BV32" s="220">
        <v>2109.94</v>
      </c>
      <c r="BW32" s="220">
        <v>1993.54</v>
      </c>
      <c r="BX32" s="220">
        <v>2092.3</v>
      </c>
      <c r="BY32" s="220">
        <v>2075.74</v>
      </c>
      <c r="BZ32" s="220">
        <v>2250.5</v>
      </c>
      <c r="CA32" s="220">
        <v>2211.2</v>
      </c>
      <c r="CB32" s="220">
        <v>2188.5</v>
      </c>
      <c r="CC32" s="220">
        <v>2177.6</v>
      </c>
      <c r="CD32" s="220">
        <v>2167.7</v>
      </c>
      <c r="CE32" s="220">
        <v>2094.2</v>
      </c>
      <c r="CF32" s="220">
        <v>2046.9</v>
      </c>
      <c r="CG32" s="220">
        <v>2055.5</v>
      </c>
      <c r="CH32" s="220">
        <v>2091.4</v>
      </c>
      <c r="CI32" s="220">
        <v>2043</v>
      </c>
      <c r="CJ32" s="220">
        <v>1997.4</v>
      </c>
      <c r="CK32" s="220">
        <v>1979.8</v>
      </c>
      <c r="CL32" s="220">
        <v>1914.9</v>
      </c>
      <c r="CM32" s="220">
        <v>1887.7</v>
      </c>
      <c r="CN32" s="220">
        <v>1860.55</v>
      </c>
      <c r="CO32" s="220">
        <v>1808.3</v>
      </c>
      <c r="CP32" s="220">
        <v>1820.4</v>
      </c>
      <c r="CQ32" s="220">
        <v>1834.1</v>
      </c>
      <c r="CR32" s="232">
        <v>1804.7</v>
      </c>
    </row>
    <row r="33" spans="1:96" ht="16.5" customHeight="1" hidden="1">
      <c r="A33" s="231" t="s">
        <v>30</v>
      </c>
      <c r="B33" s="215">
        <v>26.6</v>
      </c>
      <c r="C33" s="216">
        <v>25.372391</v>
      </c>
      <c r="D33" s="214">
        <v>0</v>
      </c>
      <c r="E33" s="214">
        <v>0</v>
      </c>
      <c r="F33" s="214">
        <v>0</v>
      </c>
      <c r="G33" s="214">
        <v>0</v>
      </c>
      <c r="H33" s="214">
        <v>0</v>
      </c>
      <c r="I33" s="214">
        <v>0</v>
      </c>
      <c r="J33" s="219">
        <v>0</v>
      </c>
      <c r="K33" s="219">
        <v>0</v>
      </c>
      <c r="L33" s="220">
        <v>0</v>
      </c>
      <c r="M33" s="220">
        <v>0</v>
      </c>
      <c r="N33" s="220">
        <v>0</v>
      </c>
      <c r="O33" s="220">
        <v>0</v>
      </c>
      <c r="P33" s="220">
        <v>0</v>
      </c>
      <c r="Q33" s="222">
        <v>0</v>
      </c>
      <c r="R33" s="220">
        <v>0</v>
      </c>
      <c r="S33" s="221">
        <v>0</v>
      </c>
      <c r="T33" s="220">
        <v>0</v>
      </c>
      <c r="U33" s="220">
        <v>0</v>
      </c>
      <c r="V33" s="221">
        <v>0</v>
      </c>
      <c r="W33" s="220">
        <v>0</v>
      </c>
      <c r="X33" s="220">
        <v>0</v>
      </c>
      <c r="Y33" s="220">
        <v>0</v>
      </c>
      <c r="Z33" s="220">
        <v>0</v>
      </c>
      <c r="AA33" s="220">
        <v>0</v>
      </c>
      <c r="AB33" s="220">
        <v>0</v>
      </c>
      <c r="AC33" s="220">
        <v>0</v>
      </c>
      <c r="AD33" s="220">
        <v>0</v>
      </c>
      <c r="AE33" s="220">
        <v>0</v>
      </c>
      <c r="AF33" s="220">
        <v>0</v>
      </c>
      <c r="AG33" s="220">
        <v>0</v>
      </c>
      <c r="AH33" s="220">
        <v>0</v>
      </c>
      <c r="AI33" s="220">
        <v>0</v>
      </c>
      <c r="AJ33" s="220">
        <v>0</v>
      </c>
      <c r="AK33" s="220">
        <v>0</v>
      </c>
      <c r="AL33" s="220">
        <v>0</v>
      </c>
      <c r="AM33" s="220">
        <v>0</v>
      </c>
      <c r="AN33" s="220">
        <v>0</v>
      </c>
      <c r="AO33" s="220">
        <v>0</v>
      </c>
      <c r="AP33" s="220">
        <v>0</v>
      </c>
      <c r="AQ33" s="220">
        <v>0</v>
      </c>
      <c r="AR33" s="220">
        <v>0</v>
      </c>
      <c r="AS33" s="220">
        <v>0</v>
      </c>
      <c r="AT33" s="220">
        <v>0</v>
      </c>
      <c r="AU33" s="220">
        <v>0</v>
      </c>
      <c r="AV33" s="220">
        <v>0</v>
      </c>
      <c r="AW33" s="220">
        <v>0</v>
      </c>
      <c r="AX33" s="220">
        <v>0</v>
      </c>
      <c r="AY33" s="220">
        <v>0</v>
      </c>
      <c r="AZ33" s="220">
        <v>0</v>
      </c>
      <c r="BA33" s="220">
        <v>0</v>
      </c>
      <c r="BB33" s="220">
        <v>0</v>
      </c>
      <c r="BC33" s="220">
        <v>0</v>
      </c>
      <c r="BD33" s="220">
        <v>0</v>
      </c>
      <c r="BE33" s="220">
        <v>0</v>
      </c>
      <c r="BF33" s="220">
        <v>0</v>
      </c>
      <c r="BG33" s="220">
        <v>0</v>
      </c>
      <c r="BH33" s="220">
        <v>0</v>
      </c>
      <c r="BI33" s="220">
        <v>0</v>
      </c>
      <c r="BJ33" s="220">
        <v>0</v>
      </c>
      <c r="BK33" s="220">
        <v>0</v>
      </c>
      <c r="BL33" s="220">
        <v>0</v>
      </c>
      <c r="BM33" s="220">
        <v>0</v>
      </c>
      <c r="BN33" s="220">
        <v>0</v>
      </c>
      <c r="BO33" s="220">
        <v>0</v>
      </c>
      <c r="BP33" s="220">
        <v>0</v>
      </c>
      <c r="BQ33" s="220">
        <v>0</v>
      </c>
      <c r="BR33" s="220">
        <v>0</v>
      </c>
      <c r="BS33" s="220">
        <v>0</v>
      </c>
      <c r="BT33" s="220">
        <v>0</v>
      </c>
      <c r="BU33" s="220">
        <v>0</v>
      </c>
      <c r="BV33" s="220">
        <v>0</v>
      </c>
      <c r="BW33" s="220">
        <v>0</v>
      </c>
      <c r="BX33" s="220">
        <v>0</v>
      </c>
      <c r="BY33" s="220">
        <v>0</v>
      </c>
      <c r="BZ33" s="220">
        <v>0</v>
      </c>
      <c r="CA33" s="220">
        <v>0</v>
      </c>
      <c r="CB33" s="220">
        <v>0</v>
      </c>
      <c r="CC33" s="220">
        <v>0</v>
      </c>
      <c r="CD33" s="220">
        <v>0</v>
      </c>
      <c r="CE33" s="220">
        <v>0</v>
      </c>
      <c r="CF33" s="220">
        <v>0</v>
      </c>
      <c r="CG33" s="220">
        <v>0</v>
      </c>
      <c r="CH33" s="220">
        <v>0</v>
      </c>
      <c r="CI33" s="220">
        <v>0</v>
      </c>
      <c r="CJ33" s="220">
        <v>0</v>
      </c>
      <c r="CK33" s="220">
        <v>0</v>
      </c>
      <c r="CL33" s="220">
        <v>0</v>
      </c>
      <c r="CM33" s="220">
        <v>0</v>
      </c>
      <c r="CN33" s="220">
        <v>0</v>
      </c>
      <c r="CO33" s="220">
        <v>0</v>
      </c>
      <c r="CP33" s="220">
        <v>0</v>
      </c>
      <c r="CQ33" s="220">
        <v>0</v>
      </c>
      <c r="CR33" s="232">
        <v>0</v>
      </c>
    </row>
    <row r="34" spans="1:96" ht="16.5" customHeight="1" hidden="1">
      <c r="A34" s="231" t="s">
        <v>31</v>
      </c>
      <c r="B34" s="215">
        <v>9.7</v>
      </c>
      <c r="C34" s="216">
        <v>6.761758</v>
      </c>
      <c r="D34" s="214">
        <v>2.814</v>
      </c>
      <c r="E34" s="214">
        <v>0</v>
      </c>
      <c r="F34" s="214">
        <v>0</v>
      </c>
      <c r="G34" s="214">
        <v>0</v>
      </c>
      <c r="H34" s="214">
        <v>0</v>
      </c>
      <c r="I34" s="214">
        <v>0</v>
      </c>
      <c r="J34" s="219">
        <v>0</v>
      </c>
      <c r="K34" s="219">
        <v>0</v>
      </c>
      <c r="L34" s="220">
        <v>0</v>
      </c>
      <c r="M34" s="220">
        <v>0</v>
      </c>
      <c r="N34" s="220">
        <v>0</v>
      </c>
      <c r="O34" s="220">
        <v>0</v>
      </c>
      <c r="P34" s="220">
        <v>0</v>
      </c>
      <c r="Q34" s="221">
        <v>0</v>
      </c>
      <c r="R34" s="220">
        <v>0</v>
      </c>
      <c r="S34" s="221">
        <v>0</v>
      </c>
      <c r="T34" s="220">
        <v>0</v>
      </c>
      <c r="U34" s="220">
        <v>0</v>
      </c>
      <c r="V34" s="221">
        <v>0</v>
      </c>
      <c r="W34" s="220">
        <v>0</v>
      </c>
      <c r="X34" s="220">
        <v>0</v>
      </c>
      <c r="Y34" s="220">
        <v>0</v>
      </c>
      <c r="Z34" s="220">
        <v>0</v>
      </c>
      <c r="AA34" s="220">
        <v>0</v>
      </c>
      <c r="AB34" s="220">
        <v>0</v>
      </c>
      <c r="AC34" s="220">
        <v>0</v>
      </c>
      <c r="AD34" s="220">
        <v>0</v>
      </c>
      <c r="AE34" s="220">
        <v>0</v>
      </c>
      <c r="AF34" s="220">
        <v>0</v>
      </c>
      <c r="AG34" s="220">
        <v>0</v>
      </c>
      <c r="AH34" s="220">
        <v>0</v>
      </c>
      <c r="AI34" s="220">
        <v>0</v>
      </c>
      <c r="AJ34" s="220">
        <v>0</v>
      </c>
      <c r="AK34" s="220">
        <v>0</v>
      </c>
      <c r="AL34" s="220">
        <v>0</v>
      </c>
      <c r="AM34" s="220">
        <v>0</v>
      </c>
      <c r="AN34" s="220">
        <v>0</v>
      </c>
      <c r="AO34" s="220">
        <v>0</v>
      </c>
      <c r="AP34" s="220">
        <v>0</v>
      </c>
      <c r="AQ34" s="220">
        <v>0</v>
      </c>
      <c r="AR34" s="220">
        <v>0</v>
      </c>
      <c r="AS34" s="220">
        <v>0</v>
      </c>
      <c r="AT34" s="220">
        <v>0</v>
      </c>
      <c r="AU34" s="220">
        <v>0</v>
      </c>
      <c r="AV34" s="220">
        <v>0</v>
      </c>
      <c r="AW34" s="220">
        <v>0</v>
      </c>
      <c r="AX34" s="220">
        <v>0</v>
      </c>
      <c r="AY34" s="220">
        <v>0</v>
      </c>
      <c r="AZ34" s="220">
        <v>0</v>
      </c>
      <c r="BA34" s="220">
        <v>0</v>
      </c>
      <c r="BB34" s="220">
        <v>0</v>
      </c>
      <c r="BC34" s="220">
        <v>0</v>
      </c>
      <c r="BD34" s="220">
        <v>0</v>
      </c>
      <c r="BE34" s="220">
        <v>0</v>
      </c>
      <c r="BF34" s="220">
        <v>0</v>
      </c>
      <c r="BG34" s="220">
        <v>0</v>
      </c>
      <c r="BH34" s="220">
        <v>0</v>
      </c>
      <c r="BI34" s="220">
        <v>0</v>
      </c>
      <c r="BJ34" s="220">
        <v>0</v>
      </c>
      <c r="BK34" s="220">
        <v>0</v>
      </c>
      <c r="BL34" s="220">
        <v>0</v>
      </c>
      <c r="BM34" s="220">
        <v>0</v>
      </c>
      <c r="BN34" s="220">
        <v>0</v>
      </c>
      <c r="BO34" s="220">
        <v>0</v>
      </c>
      <c r="BP34" s="220">
        <v>0</v>
      </c>
      <c r="BQ34" s="220">
        <v>0</v>
      </c>
      <c r="BR34" s="220">
        <v>0</v>
      </c>
      <c r="BS34" s="220">
        <v>0</v>
      </c>
      <c r="BT34" s="220">
        <v>0</v>
      </c>
      <c r="BU34" s="220">
        <v>0</v>
      </c>
      <c r="BV34" s="220">
        <v>0</v>
      </c>
      <c r="BW34" s="220">
        <v>0</v>
      </c>
      <c r="BX34" s="220">
        <v>0</v>
      </c>
      <c r="BY34" s="220">
        <v>0</v>
      </c>
      <c r="BZ34" s="220">
        <v>0</v>
      </c>
      <c r="CA34" s="220">
        <v>0</v>
      </c>
      <c r="CB34" s="220">
        <v>0</v>
      </c>
      <c r="CC34" s="220">
        <v>0</v>
      </c>
      <c r="CD34" s="220">
        <v>0</v>
      </c>
      <c r="CE34" s="220">
        <v>0</v>
      </c>
      <c r="CF34" s="220">
        <v>0</v>
      </c>
      <c r="CG34" s="220">
        <v>0</v>
      </c>
      <c r="CH34" s="220">
        <v>0</v>
      </c>
      <c r="CI34" s="220">
        <v>0</v>
      </c>
      <c r="CJ34" s="220">
        <v>0</v>
      </c>
      <c r="CK34" s="220">
        <v>0</v>
      </c>
      <c r="CL34" s="220">
        <v>0</v>
      </c>
      <c r="CM34" s="220">
        <v>0</v>
      </c>
      <c r="CN34" s="220">
        <v>0</v>
      </c>
      <c r="CO34" s="220">
        <v>0</v>
      </c>
      <c r="CP34" s="220">
        <v>0</v>
      </c>
      <c r="CQ34" s="220">
        <v>0</v>
      </c>
      <c r="CR34" s="232">
        <v>0</v>
      </c>
    </row>
    <row r="35" spans="1:96" ht="16.5" customHeight="1" hidden="1">
      <c r="A35" s="231" t="s">
        <v>32</v>
      </c>
      <c r="B35" s="215">
        <f>73.67+51.6</f>
        <v>125.27000000000001</v>
      </c>
      <c r="C35" s="216">
        <f>82.09+62.098</f>
        <v>144.188</v>
      </c>
      <c r="D35" s="214">
        <f>107.2+84.1</f>
        <v>191.3</v>
      </c>
      <c r="E35" s="214">
        <f>75.6+105.6</f>
        <v>181.2</v>
      </c>
      <c r="F35" s="214">
        <f>70.48+108.73</f>
        <v>179.21</v>
      </c>
      <c r="G35" s="214">
        <f>119.1+69.33</f>
        <v>188.43</v>
      </c>
      <c r="H35" s="214">
        <f>106.93+55.26</f>
        <v>162.19</v>
      </c>
      <c r="I35" s="214">
        <f>109.16+44.47</f>
        <v>153.63</v>
      </c>
      <c r="J35" s="219">
        <v>124.3</v>
      </c>
      <c r="K35" s="219">
        <f>29.96+98.5</f>
        <v>128.46</v>
      </c>
      <c r="L35" s="220">
        <v>129.4</v>
      </c>
      <c r="M35" s="220">
        <v>126.8</v>
      </c>
      <c r="N35" s="220">
        <v>120.1275</v>
      </c>
      <c r="O35" s="220">
        <v>113.713724</v>
      </c>
      <c r="P35" s="220">
        <v>110.41624</v>
      </c>
      <c r="Q35" s="221">
        <v>114.14616</v>
      </c>
      <c r="R35" s="220">
        <v>118.13139</v>
      </c>
      <c r="S35" s="221">
        <v>52.57972</v>
      </c>
      <c r="T35" s="220">
        <v>47.71764</v>
      </c>
      <c r="U35" s="220">
        <v>47.5</v>
      </c>
      <c r="V35" s="221">
        <v>48.43216</v>
      </c>
      <c r="W35" s="220">
        <v>0</v>
      </c>
      <c r="X35" s="220">
        <v>0</v>
      </c>
      <c r="Y35" s="220">
        <v>0</v>
      </c>
      <c r="Z35" s="220">
        <v>0</v>
      </c>
      <c r="AA35" s="220">
        <v>0</v>
      </c>
      <c r="AB35" s="220">
        <v>0</v>
      </c>
      <c r="AC35" s="220">
        <v>0</v>
      </c>
      <c r="AD35" s="220">
        <v>0</v>
      </c>
      <c r="AE35" s="220">
        <v>0</v>
      </c>
      <c r="AF35" s="220">
        <v>0</v>
      </c>
      <c r="AG35" s="220">
        <v>0</v>
      </c>
      <c r="AH35" s="220">
        <v>0</v>
      </c>
      <c r="AI35" s="220">
        <v>0</v>
      </c>
      <c r="AJ35" s="220">
        <v>0</v>
      </c>
      <c r="AK35" s="220">
        <v>0</v>
      </c>
      <c r="AL35" s="220">
        <v>0</v>
      </c>
      <c r="AM35" s="220">
        <v>0</v>
      </c>
      <c r="AN35" s="220">
        <v>0</v>
      </c>
      <c r="AO35" s="220">
        <v>0</v>
      </c>
      <c r="AP35" s="220">
        <v>0</v>
      </c>
      <c r="AQ35" s="220">
        <v>0</v>
      </c>
      <c r="AR35" s="220">
        <v>0</v>
      </c>
      <c r="AS35" s="220">
        <v>0</v>
      </c>
      <c r="AT35" s="220">
        <v>0</v>
      </c>
      <c r="AU35" s="220">
        <v>0</v>
      </c>
      <c r="AV35" s="220">
        <v>0</v>
      </c>
      <c r="AW35" s="220">
        <v>0</v>
      </c>
      <c r="AX35" s="220">
        <v>0</v>
      </c>
      <c r="AY35" s="220">
        <v>0</v>
      </c>
      <c r="AZ35" s="220">
        <v>0</v>
      </c>
      <c r="BA35" s="220">
        <v>0</v>
      </c>
      <c r="BB35" s="220">
        <v>0</v>
      </c>
      <c r="BC35" s="220">
        <v>0</v>
      </c>
      <c r="BD35" s="220">
        <v>0</v>
      </c>
      <c r="BE35" s="220">
        <v>0</v>
      </c>
      <c r="BF35" s="220">
        <v>0</v>
      </c>
      <c r="BG35" s="220">
        <v>0</v>
      </c>
      <c r="BH35" s="220">
        <v>0</v>
      </c>
      <c r="BI35" s="220">
        <v>0</v>
      </c>
      <c r="BJ35" s="220">
        <v>0</v>
      </c>
      <c r="BK35" s="220">
        <v>0</v>
      </c>
      <c r="BL35" s="220">
        <v>0</v>
      </c>
      <c r="BM35" s="220">
        <v>0</v>
      </c>
      <c r="BN35" s="220">
        <v>0</v>
      </c>
      <c r="BO35" s="220">
        <v>0</v>
      </c>
      <c r="BP35" s="220">
        <v>0</v>
      </c>
      <c r="BQ35" s="220">
        <v>0</v>
      </c>
      <c r="BR35" s="220">
        <v>0</v>
      </c>
      <c r="BS35" s="220">
        <v>0</v>
      </c>
      <c r="BT35" s="220">
        <v>0</v>
      </c>
      <c r="BU35" s="220">
        <v>0</v>
      </c>
      <c r="BV35" s="220">
        <v>0</v>
      </c>
      <c r="BW35" s="220">
        <v>0</v>
      </c>
      <c r="BX35" s="220">
        <v>0</v>
      </c>
      <c r="BY35" s="220">
        <v>0</v>
      </c>
      <c r="BZ35" s="220">
        <v>0</v>
      </c>
      <c r="CA35" s="220">
        <v>0</v>
      </c>
      <c r="CB35" s="220">
        <v>0</v>
      </c>
      <c r="CC35" s="220">
        <v>0</v>
      </c>
      <c r="CD35" s="220">
        <v>0</v>
      </c>
      <c r="CE35" s="220">
        <v>0</v>
      </c>
      <c r="CF35" s="220">
        <v>0</v>
      </c>
      <c r="CG35" s="220">
        <v>0</v>
      </c>
      <c r="CH35" s="220">
        <v>0</v>
      </c>
      <c r="CI35" s="220">
        <v>0</v>
      </c>
      <c r="CJ35" s="220">
        <v>0</v>
      </c>
      <c r="CK35" s="220">
        <v>0</v>
      </c>
      <c r="CL35" s="220">
        <v>0</v>
      </c>
      <c r="CM35" s="220">
        <v>0</v>
      </c>
      <c r="CN35" s="220">
        <v>0</v>
      </c>
      <c r="CO35" s="220">
        <v>0</v>
      </c>
      <c r="CP35" s="220">
        <v>0</v>
      </c>
      <c r="CQ35" s="220">
        <v>0</v>
      </c>
      <c r="CR35" s="232">
        <v>0</v>
      </c>
    </row>
    <row r="36" spans="1:96" ht="16.5" customHeight="1" hidden="1">
      <c r="A36" s="231" t="s">
        <v>33</v>
      </c>
      <c r="B36" s="215">
        <f>206.46+13.14</f>
        <v>219.60000000000002</v>
      </c>
      <c r="C36" s="216">
        <v>287.09</v>
      </c>
      <c r="D36" s="214">
        <v>0</v>
      </c>
      <c r="E36" s="214">
        <v>0</v>
      </c>
      <c r="F36" s="214">
        <v>0</v>
      </c>
      <c r="G36" s="214">
        <v>0</v>
      </c>
      <c r="H36" s="214">
        <v>0</v>
      </c>
      <c r="I36" s="214">
        <v>0</v>
      </c>
      <c r="J36" s="219">
        <v>0</v>
      </c>
      <c r="K36" s="219">
        <v>0</v>
      </c>
      <c r="L36" s="220">
        <v>0</v>
      </c>
      <c r="M36" s="220">
        <v>0</v>
      </c>
      <c r="N36" s="220">
        <v>0</v>
      </c>
      <c r="O36" s="220">
        <v>0</v>
      </c>
      <c r="P36" s="220">
        <v>0</v>
      </c>
      <c r="Q36" s="221">
        <v>0</v>
      </c>
      <c r="R36" s="220">
        <v>0</v>
      </c>
      <c r="S36" s="221">
        <v>0</v>
      </c>
      <c r="T36" s="220">
        <v>0</v>
      </c>
      <c r="U36" s="220">
        <v>0</v>
      </c>
      <c r="V36" s="221">
        <v>0</v>
      </c>
      <c r="W36" s="220">
        <v>0</v>
      </c>
      <c r="X36" s="220">
        <v>0</v>
      </c>
      <c r="Y36" s="220">
        <v>0</v>
      </c>
      <c r="Z36" s="220">
        <v>0</v>
      </c>
      <c r="AA36" s="220">
        <v>0</v>
      </c>
      <c r="AB36" s="220">
        <v>0</v>
      </c>
      <c r="AC36" s="220">
        <v>0</v>
      </c>
      <c r="AD36" s="220">
        <v>0</v>
      </c>
      <c r="AE36" s="220">
        <v>0</v>
      </c>
      <c r="AF36" s="220">
        <v>0</v>
      </c>
      <c r="AG36" s="220">
        <v>0</v>
      </c>
      <c r="AH36" s="220">
        <v>0</v>
      </c>
      <c r="AI36" s="220">
        <v>0</v>
      </c>
      <c r="AJ36" s="220">
        <v>0</v>
      </c>
      <c r="AK36" s="220">
        <v>0</v>
      </c>
      <c r="AL36" s="220">
        <v>0</v>
      </c>
      <c r="AM36" s="220">
        <v>0</v>
      </c>
      <c r="AN36" s="220">
        <v>0</v>
      </c>
      <c r="AO36" s="220">
        <v>0</v>
      </c>
      <c r="AP36" s="220">
        <v>0</v>
      </c>
      <c r="AQ36" s="220">
        <v>0</v>
      </c>
      <c r="AR36" s="220">
        <v>0</v>
      </c>
      <c r="AS36" s="220">
        <v>0</v>
      </c>
      <c r="AT36" s="220">
        <v>0</v>
      </c>
      <c r="AU36" s="220">
        <v>0</v>
      </c>
      <c r="AV36" s="220">
        <v>0</v>
      </c>
      <c r="AW36" s="220">
        <v>0</v>
      </c>
      <c r="AX36" s="220">
        <v>0</v>
      </c>
      <c r="AY36" s="220">
        <v>0</v>
      </c>
      <c r="AZ36" s="220">
        <v>0</v>
      </c>
      <c r="BA36" s="220">
        <v>0</v>
      </c>
      <c r="BB36" s="220">
        <v>0</v>
      </c>
      <c r="BC36" s="220">
        <v>0</v>
      </c>
      <c r="BD36" s="220">
        <v>0</v>
      </c>
      <c r="BE36" s="220">
        <v>0</v>
      </c>
      <c r="BF36" s="220">
        <v>0</v>
      </c>
      <c r="BG36" s="220">
        <v>0</v>
      </c>
      <c r="BH36" s="220">
        <v>0</v>
      </c>
      <c r="BI36" s="220">
        <v>0</v>
      </c>
      <c r="BJ36" s="220">
        <v>0</v>
      </c>
      <c r="BK36" s="220">
        <v>0</v>
      </c>
      <c r="BL36" s="220">
        <v>0</v>
      </c>
      <c r="BM36" s="220">
        <v>0</v>
      </c>
      <c r="BN36" s="220">
        <v>0</v>
      </c>
      <c r="BO36" s="220">
        <v>0</v>
      </c>
      <c r="BP36" s="220">
        <v>0</v>
      </c>
      <c r="BQ36" s="220">
        <v>0</v>
      </c>
      <c r="BR36" s="220">
        <v>0</v>
      </c>
      <c r="BS36" s="220">
        <v>0</v>
      </c>
      <c r="BT36" s="220">
        <v>0</v>
      </c>
      <c r="BU36" s="220">
        <v>0</v>
      </c>
      <c r="BV36" s="220">
        <v>0</v>
      </c>
      <c r="BW36" s="220">
        <v>0</v>
      </c>
      <c r="BX36" s="220">
        <v>0</v>
      </c>
      <c r="BY36" s="220">
        <v>0</v>
      </c>
      <c r="BZ36" s="220">
        <v>0</v>
      </c>
      <c r="CA36" s="220">
        <v>0</v>
      </c>
      <c r="CB36" s="220">
        <v>0</v>
      </c>
      <c r="CC36" s="220">
        <v>0</v>
      </c>
      <c r="CD36" s="220">
        <v>0</v>
      </c>
      <c r="CE36" s="220">
        <v>0</v>
      </c>
      <c r="CF36" s="220">
        <v>0</v>
      </c>
      <c r="CG36" s="220">
        <v>0</v>
      </c>
      <c r="CH36" s="220">
        <v>0</v>
      </c>
      <c r="CI36" s="220">
        <v>0</v>
      </c>
      <c r="CJ36" s="220">
        <v>0</v>
      </c>
      <c r="CK36" s="220">
        <v>0</v>
      </c>
      <c r="CL36" s="220">
        <v>0</v>
      </c>
      <c r="CM36" s="220">
        <v>0</v>
      </c>
      <c r="CN36" s="220">
        <v>0</v>
      </c>
      <c r="CO36" s="220">
        <v>0</v>
      </c>
      <c r="CP36" s="220">
        <v>0</v>
      </c>
      <c r="CQ36" s="220">
        <v>0</v>
      </c>
      <c r="CR36" s="232">
        <v>0</v>
      </c>
    </row>
    <row r="37" spans="1:96" ht="16.5" customHeight="1" hidden="1">
      <c r="A37" s="231" t="s">
        <v>34</v>
      </c>
      <c r="B37" s="215">
        <v>2.7</v>
      </c>
      <c r="C37" s="216">
        <v>1.05</v>
      </c>
      <c r="D37" s="214">
        <v>0</v>
      </c>
      <c r="E37" s="214">
        <v>177.5</v>
      </c>
      <c r="F37" s="214">
        <f>402.18</f>
        <v>402.18</v>
      </c>
      <c r="G37" s="214">
        <v>548.81</v>
      </c>
      <c r="H37" s="214">
        <v>402.66</v>
      </c>
      <c r="I37" s="214">
        <v>268.99</v>
      </c>
      <c r="J37" s="219">
        <v>120.96</v>
      </c>
      <c r="K37" s="219">
        <v>39.95</v>
      </c>
      <c r="L37" s="220">
        <v>0</v>
      </c>
      <c r="M37" s="220">
        <v>0</v>
      </c>
      <c r="N37" s="220">
        <v>0</v>
      </c>
      <c r="O37" s="220">
        <v>0</v>
      </c>
      <c r="P37" s="220">
        <v>0</v>
      </c>
      <c r="Q37" s="221">
        <v>0</v>
      </c>
      <c r="R37" s="220">
        <v>0</v>
      </c>
      <c r="S37" s="221">
        <v>0</v>
      </c>
      <c r="T37" s="220">
        <v>0</v>
      </c>
      <c r="U37" s="220">
        <v>0</v>
      </c>
      <c r="V37" s="221">
        <v>0</v>
      </c>
      <c r="W37" s="220">
        <v>0</v>
      </c>
      <c r="X37" s="220">
        <v>0</v>
      </c>
      <c r="Y37" s="220">
        <v>0</v>
      </c>
      <c r="Z37" s="220">
        <v>0</v>
      </c>
      <c r="AA37" s="220">
        <v>0</v>
      </c>
      <c r="AB37" s="220">
        <v>0</v>
      </c>
      <c r="AC37" s="220">
        <v>0</v>
      </c>
      <c r="AD37" s="220">
        <v>0</v>
      </c>
      <c r="AE37" s="220">
        <v>0</v>
      </c>
      <c r="AF37" s="220">
        <v>0</v>
      </c>
      <c r="AG37" s="220">
        <v>0</v>
      </c>
      <c r="AH37" s="220">
        <v>0</v>
      </c>
      <c r="AI37" s="220">
        <v>0</v>
      </c>
      <c r="AJ37" s="220">
        <v>0</v>
      </c>
      <c r="AK37" s="220">
        <v>0</v>
      </c>
      <c r="AL37" s="220">
        <v>0</v>
      </c>
      <c r="AM37" s="220">
        <v>0</v>
      </c>
      <c r="AN37" s="220">
        <v>0</v>
      </c>
      <c r="AO37" s="220">
        <v>0</v>
      </c>
      <c r="AP37" s="220">
        <v>0</v>
      </c>
      <c r="AQ37" s="220">
        <v>0</v>
      </c>
      <c r="AR37" s="220">
        <v>0</v>
      </c>
      <c r="AS37" s="220">
        <v>0</v>
      </c>
      <c r="AT37" s="220">
        <v>0</v>
      </c>
      <c r="AU37" s="220">
        <v>0</v>
      </c>
      <c r="AV37" s="220">
        <v>0</v>
      </c>
      <c r="AW37" s="220">
        <v>0</v>
      </c>
      <c r="AX37" s="220">
        <v>0</v>
      </c>
      <c r="AY37" s="220">
        <v>0</v>
      </c>
      <c r="AZ37" s="220">
        <v>0</v>
      </c>
      <c r="BA37" s="220">
        <v>0</v>
      </c>
      <c r="BB37" s="220">
        <v>0</v>
      </c>
      <c r="BC37" s="220">
        <v>0</v>
      </c>
      <c r="BD37" s="220">
        <v>0</v>
      </c>
      <c r="BE37" s="220">
        <v>0</v>
      </c>
      <c r="BF37" s="220">
        <v>0</v>
      </c>
      <c r="BG37" s="220">
        <v>0</v>
      </c>
      <c r="BH37" s="220">
        <v>0</v>
      </c>
      <c r="BI37" s="220">
        <v>0</v>
      </c>
      <c r="BJ37" s="220">
        <v>0</v>
      </c>
      <c r="BK37" s="220">
        <v>0</v>
      </c>
      <c r="BL37" s="220">
        <v>0</v>
      </c>
      <c r="BM37" s="220">
        <v>0</v>
      </c>
      <c r="BN37" s="220">
        <v>0</v>
      </c>
      <c r="BO37" s="220">
        <v>0</v>
      </c>
      <c r="BP37" s="220">
        <v>0</v>
      </c>
      <c r="BQ37" s="220">
        <v>0</v>
      </c>
      <c r="BR37" s="220">
        <v>0</v>
      </c>
      <c r="BS37" s="220">
        <v>0</v>
      </c>
      <c r="BT37" s="220">
        <v>0</v>
      </c>
      <c r="BU37" s="220">
        <v>0</v>
      </c>
      <c r="BV37" s="220">
        <v>0</v>
      </c>
      <c r="BW37" s="220">
        <v>0</v>
      </c>
      <c r="BX37" s="220">
        <v>0</v>
      </c>
      <c r="BY37" s="220">
        <v>0</v>
      </c>
      <c r="BZ37" s="220">
        <v>0</v>
      </c>
      <c r="CA37" s="220">
        <v>0</v>
      </c>
      <c r="CB37" s="220">
        <v>0</v>
      </c>
      <c r="CC37" s="220">
        <v>0</v>
      </c>
      <c r="CD37" s="220">
        <v>0</v>
      </c>
      <c r="CE37" s="220">
        <v>0</v>
      </c>
      <c r="CF37" s="220">
        <v>0</v>
      </c>
      <c r="CG37" s="220">
        <v>0</v>
      </c>
      <c r="CH37" s="220">
        <v>0</v>
      </c>
      <c r="CI37" s="220">
        <v>0</v>
      </c>
      <c r="CJ37" s="220">
        <v>0</v>
      </c>
      <c r="CK37" s="220">
        <v>0</v>
      </c>
      <c r="CL37" s="220">
        <v>0</v>
      </c>
      <c r="CM37" s="220">
        <v>0</v>
      </c>
      <c r="CN37" s="220">
        <v>0</v>
      </c>
      <c r="CO37" s="220">
        <v>0</v>
      </c>
      <c r="CP37" s="220">
        <v>0</v>
      </c>
      <c r="CQ37" s="220">
        <v>0</v>
      </c>
      <c r="CR37" s="232">
        <v>0</v>
      </c>
    </row>
    <row r="38" spans="1:96" ht="16.5" customHeight="1" hidden="1">
      <c r="A38" s="231" t="s">
        <v>35</v>
      </c>
      <c r="B38" s="215">
        <v>0</v>
      </c>
      <c r="C38" s="216">
        <v>0</v>
      </c>
      <c r="D38" s="214">
        <v>0</v>
      </c>
      <c r="E38" s="214">
        <v>0</v>
      </c>
      <c r="F38" s="214">
        <v>0.02</v>
      </c>
      <c r="G38" s="214">
        <v>0.1</v>
      </c>
      <c r="H38" s="214">
        <v>0.02</v>
      </c>
      <c r="I38" s="214">
        <v>0</v>
      </c>
      <c r="J38" s="219">
        <v>0</v>
      </c>
      <c r="K38" s="219">
        <v>0</v>
      </c>
      <c r="L38" s="220">
        <v>0</v>
      </c>
      <c r="M38" s="220">
        <v>0</v>
      </c>
      <c r="N38" s="220">
        <v>0</v>
      </c>
      <c r="O38" s="220">
        <v>0</v>
      </c>
      <c r="P38" s="220">
        <v>0</v>
      </c>
      <c r="Q38" s="221">
        <v>0</v>
      </c>
      <c r="R38" s="220">
        <v>0</v>
      </c>
      <c r="S38" s="221">
        <v>0</v>
      </c>
      <c r="T38" s="220">
        <v>0</v>
      </c>
      <c r="U38" s="220">
        <v>0</v>
      </c>
      <c r="V38" s="221">
        <v>0</v>
      </c>
      <c r="W38" s="220">
        <v>0</v>
      </c>
      <c r="X38" s="220">
        <v>0</v>
      </c>
      <c r="Y38" s="220">
        <v>0</v>
      </c>
      <c r="Z38" s="220">
        <v>0</v>
      </c>
      <c r="AA38" s="220">
        <v>0</v>
      </c>
      <c r="AB38" s="220">
        <v>0</v>
      </c>
      <c r="AC38" s="220">
        <v>0</v>
      </c>
      <c r="AD38" s="220">
        <v>0</v>
      </c>
      <c r="AE38" s="220">
        <v>0</v>
      </c>
      <c r="AF38" s="220">
        <v>0</v>
      </c>
      <c r="AG38" s="220">
        <v>0</v>
      </c>
      <c r="AH38" s="220">
        <v>0</v>
      </c>
      <c r="AI38" s="220">
        <v>0</v>
      </c>
      <c r="AJ38" s="220">
        <v>0</v>
      </c>
      <c r="AK38" s="220">
        <v>0</v>
      </c>
      <c r="AL38" s="220">
        <v>0</v>
      </c>
      <c r="AM38" s="220">
        <v>0</v>
      </c>
      <c r="AN38" s="220">
        <v>0</v>
      </c>
      <c r="AO38" s="220">
        <v>0</v>
      </c>
      <c r="AP38" s="220">
        <v>0</v>
      </c>
      <c r="AQ38" s="220">
        <v>0</v>
      </c>
      <c r="AR38" s="220">
        <v>0</v>
      </c>
      <c r="AS38" s="220">
        <v>0</v>
      </c>
      <c r="AT38" s="220">
        <v>0</v>
      </c>
      <c r="AU38" s="220">
        <v>0</v>
      </c>
      <c r="AV38" s="220">
        <v>0</v>
      </c>
      <c r="AW38" s="220">
        <v>0</v>
      </c>
      <c r="AX38" s="220">
        <v>0</v>
      </c>
      <c r="AY38" s="220">
        <v>0</v>
      </c>
      <c r="AZ38" s="220">
        <v>0</v>
      </c>
      <c r="BA38" s="220">
        <v>0</v>
      </c>
      <c r="BB38" s="220">
        <v>0</v>
      </c>
      <c r="BC38" s="220">
        <v>0</v>
      </c>
      <c r="BD38" s="220">
        <v>0</v>
      </c>
      <c r="BE38" s="220">
        <v>0</v>
      </c>
      <c r="BF38" s="220">
        <v>0</v>
      </c>
      <c r="BG38" s="220">
        <v>0</v>
      </c>
      <c r="BH38" s="220">
        <v>0</v>
      </c>
      <c r="BI38" s="220">
        <v>0</v>
      </c>
      <c r="BJ38" s="220">
        <v>0</v>
      </c>
      <c r="BK38" s="220">
        <v>0</v>
      </c>
      <c r="BL38" s="220">
        <v>0</v>
      </c>
      <c r="BM38" s="220">
        <v>0</v>
      </c>
      <c r="BN38" s="220">
        <v>0</v>
      </c>
      <c r="BO38" s="220">
        <v>0</v>
      </c>
      <c r="BP38" s="220">
        <v>0</v>
      </c>
      <c r="BQ38" s="220">
        <v>0</v>
      </c>
      <c r="BR38" s="220">
        <v>0</v>
      </c>
      <c r="BS38" s="220">
        <v>0</v>
      </c>
      <c r="BT38" s="220">
        <v>0</v>
      </c>
      <c r="BU38" s="220">
        <v>0</v>
      </c>
      <c r="BV38" s="220">
        <v>0</v>
      </c>
      <c r="BW38" s="220">
        <v>0</v>
      </c>
      <c r="BX38" s="220">
        <v>0</v>
      </c>
      <c r="BY38" s="220">
        <v>0</v>
      </c>
      <c r="BZ38" s="220">
        <v>0</v>
      </c>
      <c r="CA38" s="220">
        <v>0</v>
      </c>
      <c r="CB38" s="220">
        <v>0</v>
      </c>
      <c r="CC38" s="220">
        <v>0</v>
      </c>
      <c r="CD38" s="220">
        <v>0</v>
      </c>
      <c r="CE38" s="220">
        <v>0</v>
      </c>
      <c r="CF38" s="220">
        <v>0</v>
      </c>
      <c r="CG38" s="220">
        <v>0</v>
      </c>
      <c r="CH38" s="220">
        <v>0</v>
      </c>
      <c r="CI38" s="220">
        <v>0</v>
      </c>
      <c r="CJ38" s="220">
        <v>0</v>
      </c>
      <c r="CK38" s="220">
        <v>0</v>
      </c>
      <c r="CL38" s="220">
        <v>0</v>
      </c>
      <c r="CM38" s="220">
        <v>0</v>
      </c>
      <c r="CN38" s="220">
        <v>0</v>
      </c>
      <c r="CO38" s="220">
        <v>0</v>
      </c>
      <c r="CP38" s="220">
        <v>0</v>
      </c>
      <c r="CQ38" s="220">
        <v>0</v>
      </c>
      <c r="CR38" s="232">
        <v>0</v>
      </c>
    </row>
    <row r="39" spans="1:96" ht="16.5" customHeight="1" hidden="1">
      <c r="A39" s="229" t="s">
        <v>36</v>
      </c>
      <c r="B39" s="213">
        <f aca="true" t="shared" si="20" ref="B39:K39">SUM(B40:B42)</f>
        <v>25285.510000000002</v>
      </c>
      <c r="C39" s="213">
        <f t="shared" si="20"/>
        <v>33776.4</v>
      </c>
      <c r="D39" s="213">
        <f t="shared" si="20"/>
        <v>43793.82</v>
      </c>
      <c r="E39" s="213">
        <f t="shared" si="20"/>
        <v>51136.75</v>
      </c>
      <c r="F39" s="213">
        <f t="shared" si="20"/>
        <v>55147.33</v>
      </c>
      <c r="G39" s="213">
        <f t="shared" si="20"/>
        <v>56381.799999999996</v>
      </c>
      <c r="H39" s="213">
        <f t="shared" si="20"/>
        <v>59868.5</v>
      </c>
      <c r="I39" s="213">
        <f t="shared" si="20"/>
        <v>76149.6</v>
      </c>
      <c r="J39" s="218">
        <f t="shared" si="20"/>
        <v>100556.4</v>
      </c>
      <c r="K39" s="218">
        <f t="shared" si="20"/>
        <v>136493.8</v>
      </c>
      <c r="L39" s="218">
        <f aca="true" t="shared" si="21" ref="L39:AT39">L40+L41+L42</f>
        <v>182510.26032</v>
      </c>
      <c r="M39" s="218">
        <f t="shared" si="21"/>
        <v>178723.03448</v>
      </c>
      <c r="N39" s="218">
        <f t="shared" si="21"/>
        <v>181494.6165</v>
      </c>
      <c r="O39" s="218">
        <f t="shared" si="21"/>
        <v>187476.541801</v>
      </c>
      <c r="P39" s="218">
        <f t="shared" si="21"/>
        <v>184007.58496</v>
      </c>
      <c r="Q39" s="218">
        <f t="shared" si="21"/>
        <v>189121.47608</v>
      </c>
      <c r="R39" s="218">
        <f t="shared" si="21"/>
        <v>202388.04462</v>
      </c>
      <c r="S39" s="218">
        <f t="shared" si="21"/>
        <v>192954.63157</v>
      </c>
      <c r="T39" s="218">
        <f t="shared" si="21"/>
        <v>195975.12888</v>
      </c>
      <c r="U39" s="218">
        <f t="shared" si="21"/>
        <v>200634.5</v>
      </c>
      <c r="V39" s="218">
        <f t="shared" si="21"/>
        <v>199580.80933</v>
      </c>
      <c r="W39" s="218">
        <f t="shared" si="21"/>
        <v>201455.63009</v>
      </c>
      <c r="X39" s="218">
        <f t="shared" si="21"/>
        <v>210388.6</v>
      </c>
      <c r="Y39" s="218">
        <f t="shared" si="21"/>
        <v>207511.9</v>
      </c>
      <c r="Z39" s="218">
        <f t="shared" si="21"/>
        <v>217778.5</v>
      </c>
      <c r="AA39" s="218">
        <f t="shared" si="21"/>
        <v>222624.09999999998</v>
      </c>
      <c r="AB39" s="218">
        <f t="shared" si="21"/>
        <v>223952.8</v>
      </c>
      <c r="AC39" s="218">
        <f t="shared" si="21"/>
        <v>224749.2</v>
      </c>
      <c r="AD39" s="218">
        <f t="shared" si="21"/>
        <v>219100.9</v>
      </c>
      <c r="AE39" s="218">
        <f t="shared" si="21"/>
        <v>223454.6</v>
      </c>
      <c r="AF39" s="218">
        <f t="shared" si="21"/>
        <v>218464.4</v>
      </c>
      <c r="AG39" s="218">
        <f t="shared" si="21"/>
        <v>222804.5</v>
      </c>
      <c r="AH39" s="218">
        <f t="shared" si="21"/>
        <v>225335.58604000002</v>
      </c>
      <c r="AI39" s="218">
        <f t="shared" si="21"/>
        <v>227302</v>
      </c>
      <c r="AJ39" s="218">
        <f t="shared" si="21"/>
        <v>226841.9</v>
      </c>
      <c r="AK39" s="218">
        <f t="shared" si="21"/>
        <v>226822.3</v>
      </c>
      <c r="AL39" s="218">
        <f t="shared" si="21"/>
        <v>235942.09999999998</v>
      </c>
      <c r="AM39" s="218">
        <f t="shared" si="21"/>
        <v>238452.66</v>
      </c>
      <c r="AN39" s="218">
        <f t="shared" si="21"/>
        <v>238986.6</v>
      </c>
      <c r="AO39" s="218">
        <f t="shared" si="21"/>
        <v>235516.1</v>
      </c>
      <c r="AP39" s="218">
        <f t="shared" si="21"/>
        <v>239716.8</v>
      </c>
      <c r="AQ39" s="218">
        <f t="shared" si="21"/>
        <v>237881.7</v>
      </c>
      <c r="AR39" s="218">
        <f t="shared" si="21"/>
        <v>238895.5</v>
      </c>
      <c r="AS39" s="218">
        <f t="shared" si="21"/>
        <v>246545.90000000002</v>
      </c>
      <c r="AT39" s="218">
        <f t="shared" si="21"/>
        <v>251459.3</v>
      </c>
      <c r="AU39" s="218">
        <v>246739.2</v>
      </c>
      <c r="AV39" s="218">
        <f aca="true" t="shared" si="22" ref="AV39:CM39">AV40+AV41+AV42</f>
        <v>252179.8</v>
      </c>
      <c r="AW39" s="218">
        <f t="shared" si="22"/>
        <v>255987.2</v>
      </c>
      <c r="AX39" s="218">
        <f t="shared" si="22"/>
        <v>259457.68</v>
      </c>
      <c r="AY39" s="218">
        <f t="shared" si="22"/>
        <v>254545.90000000002</v>
      </c>
      <c r="AZ39" s="218">
        <f t="shared" si="22"/>
        <v>261542.13</v>
      </c>
      <c r="BA39" s="218">
        <f t="shared" si="22"/>
        <v>255580.2</v>
      </c>
      <c r="BB39" s="218">
        <f t="shared" si="22"/>
        <v>257060.7</v>
      </c>
      <c r="BC39" s="218">
        <f t="shared" si="22"/>
        <v>255083.9</v>
      </c>
      <c r="BD39" s="218">
        <f t="shared" si="22"/>
        <v>255443.59999999998</v>
      </c>
      <c r="BE39" s="218">
        <f t="shared" si="22"/>
        <v>253959.22999999998</v>
      </c>
      <c r="BF39" s="218">
        <f t="shared" si="22"/>
        <v>261718.59999999998</v>
      </c>
      <c r="BG39" s="218">
        <f t="shared" si="22"/>
        <v>265653.60000000003</v>
      </c>
      <c r="BH39" s="218">
        <f t="shared" si="22"/>
        <v>280763.80000000005</v>
      </c>
      <c r="BI39" s="218">
        <f t="shared" si="22"/>
        <v>268239.7</v>
      </c>
      <c r="BJ39" s="218">
        <f t="shared" si="22"/>
        <v>272404.30000000005</v>
      </c>
      <c r="BK39" s="218">
        <f t="shared" si="22"/>
        <v>268935.1</v>
      </c>
      <c r="BL39" s="218">
        <f t="shared" si="22"/>
        <v>265250.9</v>
      </c>
      <c r="BM39" s="218">
        <f t="shared" si="22"/>
        <v>266229.1</v>
      </c>
      <c r="BN39" s="218">
        <f t="shared" si="22"/>
        <v>273834.7</v>
      </c>
      <c r="BO39" s="218">
        <f t="shared" si="22"/>
        <v>268640.8</v>
      </c>
      <c r="BP39" s="218">
        <f t="shared" si="22"/>
        <v>270339.9</v>
      </c>
      <c r="BQ39" s="218">
        <f t="shared" si="22"/>
        <v>272131.4</v>
      </c>
      <c r="BR39" s="218">
        <f t="shared" si="22"/>
        <v>277077.8</v>
      </c>
      <c r="BS39" s="218">
        <f t="shared" si="22"/>
        <v>281841</v>
      </c>
      <c r="BT39" s="218">
        <f t="shared" si="22"/>
        <v>299142.6</v>
      </c>
      <c r="BU39" s="218">
        <f t="shared" si="22"/>
        <v>290246.1</v>
      </c>
      <c r="BV39" s="218">
        <f t="shared" si="22"/>
        <v>294597.58</v>
      </c>
      <c r="BW39" s="218">
        <f t="shared" si="22"/>
        <v>293582.4</v>
      </c>
      <c r="BX39" s="218">
        <f t="shared" si="22"/>
        <v>297926.2</v>
      </c>
      <c r="BY39" s="218">
        <f t="shared" si="22"/>
        <v>306275.48</v>
      </c>
      <c r="BZ39" s="218">
        <f t="shared" si="22"/>
        <v>302421.1</v>
      </c>
      <c r="CA39" s="218">
        <f t="shared" si="22"/>
        <v>300994.8</v>
      </c>
      <c r="CB39" s="218">
        <f t="shared" si="22"/>
        <v>296362.8</v>
      </c>
      <c r="CC39" s="218">
        <f t="shared" si="22"/>
        <v>298090.6</v>
      </c>
      <c r="CD39" s="218">
        <f t="shared" si="22"/>
        <v>303627.5</v>
      </c>
      <c r="CE39" s="218">
        <f t="shared" si="22"/>
        <v>309343.80000000005</v>
      </c>
      <c r="CF39" s="218">
        <f t="shared" si="22"/>
        <v>323482.05</v>
      </c>
      <c r="CG39" s="218">
        <f t="shared" si="22"/>
        <v>317877.30000000005</v>
      </c>
      <c r="CH39" s="218">
        <f t="shared" si="22"/>
        <v>322256.69999999995</v>
      </c>
      <c r="CI39" s="218">
        <f t="shared" si="22"/>
        <v>326781</v>
      </c>
      <c r="CJ39" s="218">
        <f t="shared" si="22"/>
        <v>326123.8</v>
      </c>
      <c r="CK39" s="218">
        <f t="shared" si="22"/>
        <v>337023.2</v>
      </c>
      <c r="CL39" s="218">
        <f t="shared" si="22"/>
        <v>336593.39999999997</v>
      </c>
      <c r="CM39" s="218">
        <f t="shared" si="22"/>
        <v>330993.9</v>
      </c>
      <c r="CN39" s="218">
        <f>CN40+CN41+CN42</f>
        <v>333090.5</v>
      </c>
      <c r="CO39" s="218">
        <f>CO40+CO41+CO42</f>
        <v>328871.2</v>
      </c>
      <c r="CP39" s="218">
        <f>CP40+CP41+CP42</f>
        <v>337195.7</v>
      </c>
      <c r="CQ39" s="218">
        <f>CQ40+CQ41+CQ42</f>
        <v>342564.6</v>
      </c>
      <c r="CR39" s="230">
        <f>CR40+CR41+CR42</f>
        <v>352996.6</v>
      </c>
    </row>
    <row r="40" spans="1:96" ht="16.5" customHeight="1" hidden="1">
      <c r="A40" s="233" t="s">
        <v>37</v>
      </c>
      <c r="B40" s="214">
        <v>4658.65</v>
      </c>
      <c r="C40" s="214">
        <v>6421.2</v>
      </c>
      <c r="D40" s="214">
        <v>8167.6</v>
      </c>
      <c r="E40" s="214">
        <v>7939.65</v>
      </c>
      <c r="F40" s="214">
        <v>9657.13</v>
      </c>
      <c r="G40" s="214">
        <v>9383.6</v>
      </c>
      <c r="H40" s="214">
        <v>20951.3</v>
      </c>
      <c r="I40" s="214">
        <v>31922.2</v>
      </c>
      <c r="J40" s="219">
        <v>49526.6</v>
      </c>
      <c r="K40" s="219">
        <v>51566.6</v>
      </c>
      <c r="L40" s="220">
        <v>64095.9</v>
      </c>
      <c r="M40" s="220">
        <v>60045.8</v>
      </c>
      <c r="N40" s="220">
        <v>61758.06</v>
      </c>
      <c r="O40" s="220">
        <v>64965.326</v>
      </c>
      <c r="P40" s="220">
        <v>61726.4</v>
      </c>
      <c r="Q40" s="221">
        <v>61234.8</v>
      </c>
      <c r="R40" s="220">
        <v>65827.13</v>
      </c>
      <c r="S40" s="221">
        <v>58388.8</v>
      </c>
      <c r="T40" s="220">
        <v>60795.8</v>
      </c>
      <c r="U40" s="220">
        <v>61109.5</v>
      </c>
      <c r="V40" s="221">
        <v>63297.9</v>
      </c>
      <c r="W40" s="220">
        <v>62678.4</v>
      </c>
      <c r="X40" s="220">
        <v>67788.9</v>
      </c>
      <c r="Y40" s="220">
        <v>61997.7</v>
      </c>
      <c r="Z40" s="220">
        <v>63445.6</v>
      </c>
      <c r="AA40" s="220">
        <v>63116.9</v>
      </c>
      <c r="AB40" s="220">
        <v>59875.5</v>
      </c>
      <c r="AC40" s="220">
        <v>57477.7</v>
      </c>
      <c r="AD40" s="220">
        <v>50853.4</v>
      </c>
      <c r="AE40" s="220">
        <v>50670.8</v>
      </c>
      <c r="AF40" s="220">
        <v>49345.1</v>
      </c>
      <c r="AG40" s="220">
        <v>47722.8</v>
      </c>
      <c r="AH40" s="220">
        <v>52253.6</v>
      </c>
      <c r="AI40" s="220">
        <v>47681.1</v>
      </c>
      <c r="AJ40" s="220">
        <v>43428.3</v>
      </c>
      <c r="AK40" s="220">
        <v>35152.8</v>
      </c>
      <c r="AL40" s="220">
        <v>36139.7</v>
      </c>
      <c r="AM40" s="220">
        <v>37695.2</v>
      </c>
      <c r="AN40" s="220">
        <v>36340</v>
      </c>
      <c r="AO40" s="220">
        <v>29392.7</v>
      </c>
      <c r="AP40" s="220">
        <v>29032</v>
      </c>
      <c r="AQ40" s="220">
        <v>29995.4</v>
      </c>
      <c r="AR40" s="220">
        <v>29555.4</v>
      </c>
      <c r="AS40" s="220">
        <v>28130.9</v>
      </c>
      <c r="AT40" s="220">
        <v>30100.45</v>
      </c>
      <c r="AU40" s="220">
        <v>27209.7</v>
      </c>
      <c r="AV40" s="220">
        <v>29453.9</v>
      </c>
      <c r="AW40" s="220">
        <v>22006.3</v>
      </c>
      <c r="AX40" s="220">
        <v>23945.54</v>
      </c>
      <c r="AY40" s="220">
        <v>22008.3</v>
      </c>
      <c r="AZ40" s="220">
        <v>26418.03</v>
      </c>
      <c r="BA40" s="220">
        <v>25382.9</v>
      </c>
      <c r="BB40" s="220">
        <v>23987.6</v>
      </c>
      <c r="BC40" s="220">
        <v>22979.9</v>
      </c>
      <c r="BD40" s="220">
        <v>21961.8</v>
      </c>
      <c r="BE40" s="220">
        <v>18742.4</v>
      </c>
      <c r="BF40" s="220">
        <v>23262.2</v>
      </c>
      <c r="BG40" s="220">
        <v>24826.3</v>
      </c>
      <c r="BH40" s="220">
        <v>35713</v>
      </c>
      <c r="BI40" s="220">
        <v>27364</v>
      </c>
      <c r="BJ40" s="220">
        <v>28597.5</v>
      </c>
      <c r="BK40" s="220">
        <v>28789.2</v>
      </c>
      <c r="BL40" s="220">
        <v>31421.9</v>
      </c>
      <c r="BM40" s="220">
        <v>30114.6</v>
      </c>
      <c r="BN40" s="220">
        <v>32801.2</v>
      </c>
      <c r="BO40" s="220">
        <v>31412.9</v>
      </c>
      <c r="BP40" s="220">
        <v>31217.4</v>
      </c>
      <c r="BQ40" s="220">
        <v>31039.8</v>
      </c>
      <c r="BR40" s="220">
        <v>31200.1</v>
      </c>
      <c r="BS40" s="220">
        <v>32001.6</v>
      </c>
      <c r="BT40" s="220">
        <v>44695.3</v>
      </c>
      <c r="BU40" s="220">
        <v>39750.75</v>
      </c>
      <c r="BV40" s="220">
        <v>42212.5</v>
      </c>
      <c r="BW40" s="220">
        <v>37951</v>
      </c>
      <c r="BX40" s="220">
        <v>39133.4</v>
      </c>
      <c r="BY40" s="220">
        <v>45554.2</v>
      </c>
      <c r="BZ40" s="220">
        <v>45320.7</v>
      </c>
      <c r="CA40" s="220">
        <v>43803.2</v>
      </c>
      <c r="CB40" s="220">
        <v>42663.6</v>
      </c>
      <c r="CC40" s="220">
        <v>41988.1</v>
      </c>
      <c r="CD40" s="220">
        <v>37969.8</v>
      </c>
      <c r="CE40" s="220">
        <v>41442</v>
      </c>
      <c r="CF40" s="220">
        <v>53619.9</v>
      </c>
      <c r="CG40" s="220">
        <v>47684.1</v>
      </c>
      <c r="CH40" s="220">
        <v>49870.2</v>
      </c>
      <c r="CI40" s="220">
        <v>50648.8</v>
      </c>
      <c r="CJ40" s="220">
        <v>47802.4</v>
      </c>
      <c r="CK40" s="220">
        <v>46640.3</v>
      </c>
      <c r="CL40" s="220">
        <v>50518.2</v>
      </c>
      <c r="CM40" s="220">
        <v>49637.9</v>
      </c>
      <c r="CN40" s="220">
        <v>46128.5</v>
      </c>
      <c r="CO40" s="220">
        <v>43884.5</v>
      </c>
      <c r="CP40" s="220">
        <v>47511.2</v>
      </c>
      <c r="CQ40" s="220">
        <v>50859.4</v>
      </c>
      <c r="CR40" s="232">
        <v>60863</v>
      </c>
    </row>
    <row r="41" spans="1:96" ht="16.5" customHeight="1" hidden="1">
      <c r="A41" s="233" t="s">
        <v>38</v>
      </c>
      <c r="B41" s="215">
        <f>2612.7+2779.7</f>
        <v>5392.4</v>
      </c>
      <c r="C41" s="216">
        <f>4290.3+2751.5</f>
        <v>7041.8</v>
      </c>
      <c r="D41" s="214">
        <f>4459.9+3582.7</f>
        <v>8042.599999999999</v>
      </c>
      <c r="E41" s="214">
        <f>3698.1+3561.4</f>
        <v>7259.5</v>
      </c>
      <c r="F41" s="214">
        <f>3654.6+4732.2</f>
        <v>8386.8</v>
      </c>
      <c r="G41" s="214">
        <f>1984.9+6213.6</f>
        <v>8198.5</v>
      </c>
      <c r="H41" s="214">
        <f>1197.8+4177.4</f>
        <v>5375.2</v>
      </c>
      <c r="I41" s="214">
        <f>8289.5+722.4</f>
        <v>9011.9</v>
      </c>
      <c r="J41" s="219">
        <f>10347.4+365.1</f>
        <v>10712.5</v>
      </c>
      <c r="K41" s="219">
        <f>27085.5+10.6</f>
        <v>27096.1</v>
      </c>
      <c r="L41" s="220">
        <v>42792.21392</v>
      </c>
      <c r="M41" s="220">
        <v>30984.10196</v>
      </c>
      <c r="N41" s="220">
        <v>43143.016</v>
      </c>
      <c r="O41" s="220">
        <v>43041.952217</v>
      </c>
      <c r="P41" s="220">
        <v>31379.52976</v>
      </c>
      <c r="Q41" s="221">
        <v>35674.54832</v>
      </c>
      <c r="R41" s="220">
        <v>56830.34364</v>
      </c>
      <c r="S41" s="221">
        <v>54777.34612</v>
      </c>
      <c r="T41" s="220">
        <v>55591.58912</v>
      </c>
      <c r="U41" s="220">
        <v>56632.7</v>
      </c>
      <c r="V41" s="221">
        <v>54080.87972</v>
      </c>
      <c r="W41" s="220">
        <v>55031.29156</v>
      </c>
      <c r="X41" s="220">
        <v>55152.1</v>
      </c>
      <c r="Y41" s="220">
        <v>55507</v>
      </c>
      <c r="Z41" s="220">
        <v>62929</v>
      </c>
      <c r="AA41" s="220">
        <v>64614.5</v>
      </c>
      <c r="AB41" s="220">
        <v>68288.2</v>
      </c>
      <c r="AC41" s="220">
        <v>71250</v>
      </c>
      <c r="AD41" s="220">
        <v>72050.1</v>
      </c>
      <c r="AE41" s="220">
        <v>73690.8</v>
      </c>
      <c r="AF41" s="220">
        <v>72788.3</v>
      </c>
      <c r="AG41" s="220">
        <v>74469.55</v>
      </c>
      <c r="AH41" s="220">
        <v>72285.81432</v>
      </c>
      <c r="AI41" s="220">
        <v>71845.85</v>
      </c>
      <c r="AJ41" s="220">
        <v>77365.7</v>
      </c>
      <c r="AK41" s="220">
        <v>87069.8</v>
      </c>
      <c r="AL41" s="220">
        <v>89885.2</v>
      </c>
      <c r="AM41" s="220">
        <v>88986.63</v>
      </c>
      <c r="AN41" s="220">
        <v>92646.8</v>
      </c>
      <c r="AO41" s="220">
        <v>94809.6</v>
      </c>
      <c r="AP41" s="220">
        <v>97217.9</v>
      </c>
      <c r="AQ41" s="220">
        <v>96567.45</v>
      </c>
      <c r="AR41" s="220">
        <v>96217.2</v>
      </c>
      <c r="AS41" s="220">
        <v>98188.2</v>
      </c>
      <c r="AT41" s="220">
        <v>96118.25</v>
      </c>
      <c r="AU41" s="220">
        <v>94989.4</v>
      </c>
      <c r="AV41" s="220">
        <v>94759.7</v>
      </c>
      <c r="AW41" s="220">
        <v>97760.8</v>
      </c>
      <c r="AX41" s="220">
        <v>99676.9</v>
      </c>
      <c r="AY41" s="220">
        <v>97151.4</v>
      </c>
      <c r="AZ41" s="220">
        <v>93083.85</v>
      </c>
      <c r="BA41" s="220">
        <v>87610.05</v>
      </c>
      <c r="BB41" s="220">
        <v>88861.4</v>
      </c>
      <c r="BC41" s="220">
        <v>84907.7</v>
      </c>
      <c r="BD41" s="220">
        <v>87030</v>
      </c>
      <c r="BE41" s="220">
        <v>87161.15</v>
      </c>
      <c r="BF41" s="220">
        <v>81970.5</v>
      </c>
      <c r="BG41" s="220">
        <v>84894.6</v>
      </c>
      <c r="BH41" s="220">
        <v>83930.1</v>
      </c>
      <c r="BI41" s="220">
        <v>85977.2</v>
      </c>
      <c r="BJ41" s="220">
        <v>86276.1</v>
      </c>
      <c r="BK41" s="220">
        <v>82615.8</v>
      </c>
      <c r="BL41" s="220">
        <v>76546.1</v>
      </c>
      <c r="BM41" s="220">
        <v>76959.4</v>
      </c>
      <c r="BN41" s="220">
        <v>77890.8</v>
      </c>
      <c r="BO41" s="220">
        <v>74401.1</v>
      </c>
      <c r="BP41" s="220">
        <v>75538.6</v>
      </c>
      <c r="BQ41" s="220">
        <v>76457.6</v>
      </c>
      <c r="BR41" s="220">
        <v>71066.3</v>
      </c>
      <c r="BS41" s="220">
        <v>72960.6</v>
      </c>
      <c r="BT41" s="220">
        <v>74902.4</v>
      </c>
      <c r="BU41" s="220">
        <v>69877</v>
      </c>
      <c r="BV41" s="220">
        <v>66568.24</v>
      </c>
      <c r="BW41" s="220">
        <v>69694</v>
      </c>
      <c r="BX41" s="220">
        <v>71504.6</v>
      </c>
      <c r="BY41" s="220">
        <v>66597.14</v>
      </c>
      <c r="BZ41" s="220">
        <v>61460.6</v>
      </c>
      <c r="CA41" s="220">
        <v>62868.1</v>
      </c>
      <c r="CB41" s="220">
        <v>57773.1</v>
      </c>
      <c r="CC41" s="220">
        <v>59784.8</v>
      </c>
      <c r="CD41" s="220">
        <v>61751.7</v>
      </c>
      <c r="CE41" s="220">
        <v>62471.1</v>
      </c>
      <c r="CF41" s="220">
        <v>63433.15</v>
      </c>
      <c r="CG41" s="220">
        <v>64503.5</v>
      </c>
      <c r="CH41" s="220">
        <v>65483.6</v>
      </c>
      <c r="CI41" s="220">
        <v>68594.9</v>
      </c>
      <c r="CJ41" s="220">
        <v>70948.5</v>
      </c>
      <c r="CK41" s="220">
        <v>73333.2</v>
      </c>
      <c r="CL41" s="220">
        <v>75458.9</v>
      </c>
      <c r="CM41" s="220">
        <v>68573.8</v>
      </c>
      <c r="CN41" s="220">
        <v>70361</v>
      </c>
      <c r="CO41" s="220">
        <v>71876.2</v>
      </c>
      <c r="CP41" s="220">
        <v>71873.9</v>
      </c>
      <c r="CQ41" s="220">
        <v>72545.7</v>
      </c>
      <c r="CR41" s="232">
        <v>72187</v>
      </c>
    </row>
    <row r="42" spans="1:96" ht="16.5" customHeight="1" hidden="1">
      <c r="A42" s="233" t="s">
        <v>39</v>
      </c>
      <c r="B42" s="215">
        <f>3474.7+11745.2+14.56</f>
        <v>15234.460000000001</v>
      </c>
      <c r="C42" s="216">
        <f>5963.5+14337.2+12.7</f>
        <v>20313.4</v>
      </c>
      <c r="D42" s="214">
        <f>7267+20305.7+10.92</f>
        <v>27583.62</v>
      </c>
      <c r="E42" s="214">
        <f>11837.6+24090.9+9.1</f>
        <v>35937.6</v>
      </c>
      <c r="F42" s="214">
        <f>12347.6+24734.2+21.6</f>
        <v>37103.4</v>
      </c>
      <c r="G42" s="214">
        <f>11496.1+26773+530.6</f>
        <v>38799.7</v>
      </c>
      <c r="H42" s="214">
        <f>8717+24126.4+698.6</f>
        <v>33542</v>
      </c>
      <c r="I42" s="214">
        <f>1662.7+7701.6+25851.2</f>
        <v>35215.5</v>
      </c>
      <c r="J42" s="219">
        <f>1649.1+8108.3+30559.9</f>
        <v>40317.3</v>
      </c>
      <c r="K42" s="219">
        <f>5697+11687.7+40446.4</f>
        <v>57831.100000000006</v>
      </c>
      <c r="L42" s="220">
        <v>75622.1464</v>
      </c>
      <c r="M42" s="220">
        <v>87693.13252</v>
      </c>
      <c r="N42" s="220">
        <v>76593.5405</v>
      </c>
      <c r="O42" s="220">
        <v>79469.263584</v>
      </c>
      <c r="P42" s="220">
        <v>90901.6552</v>
      </c>
      <c r="Q42" s="221">
        <v>92212.12776</v>
      </c>
      <c r="R42" s="220">
        <v>79730.57098</v>
      </c>
      <c r="S42" s="221">
        <v>79788.48545</v>
      </c>
      <c r="T42" s="220">
        <v>79587.73976</v>
      </c>
      <c r="U42" s="220">
        <v>82892.3</v>
      </c>
      <c r="V42" s="221">
        <v>82202.02961</v>
      </c>
      <c r="W42" s="220">
        <v>83745.93853</v>
      </c>
      <c r="X42" s="220">
        <v>87447.6</v>
      </c>
      <c r="Y42" s="220">
        <v>90007.2</v>
      </c>
      <c r="Z42" s="220">
        <v>91403.9</v>
      </c>
      <c r="AA42" s="220">
        <v>94892.7</v>
      </c>
      <c r="AB42" s="220">
        <v>95789.1</v>
      </c>
      <c r="AC42" s="220">
        <v>96021.5</v>
      </c>
      <c r="AD42" s="220">
        <v>96197.4</v>
      </c>
      <c r="AE42" s="220">
        <v>99093</v>
      </c>
      <c r="AF42" s="220">
        <v>96331</v>
      </c>
      <c r="AG42" s="220">
        <v>100612.15</v>
      </c>
      <c r="AH42" s="220">
        <v>100796.17172</v>
      </c>
      <c r="AI42" s="220">
        <v>107775.05</v>
      </c>
      <c r="AJ42" s="220">
        <v>106047.9</v>
      </c>
      <c r="AK42" s="220">
        <v>104599.7</v>
      </c>
      <c r="AL42" s="220">
        <v>109917.2</v>
      </c>
      <c r="AM42" s="220">
        <v>111770.83</v>
      </c>
      <c r="AN42" s="220">
        <v>109999.8</v>
      </c>
      <c r="AO42" s="220">
        <v>111313.8</v>
      </c>
      <c r="AP42" s="220">
        <v>113466.9</v>
      </c>
      <c r="AQ42" s="220">
        <v>111318.85</v>
      </c>
      <c r="AR42" s="220">
        <v>113122.9</v>
      </c>
      <c r="AS42" s="220">
        <v>120226.8</v>
      </c>
      <c r="AT42" s="220">
        <v>125240.6</v>
      </c>
      <c r="AU42" s="220">
        <v>124540.1</v>
      </c>
      <c r="AV42" s="220">
        <v>127966.2</v>
      </c>
      <c r="AW42" s="220">
        <v>136220.1</v>
      </c>
      <c r="AX42" s="220">
        <v>135835.24</v>
      </c>
      <c r="AY42" s="220">
        <v>135386.2</v>
      </c>
      <c r="AZ42" s="220">
        <v>142040.25</v>
      </c>
      <c r="BA42" s="220">
        <v>142587.25</v>
      </c>
      <c r="BB42" s="220">
        <v>144211.7</v>
      </c>
      <c r="BC42" s="220">
        <v>147196.3</v>
      </c>
      <c r="BD42" s="220">
        <v>146451.8</v>
      </c>
      <c r="BE42" s="220">
        <v>148055.68</v>
      </c>
      <c r="BF42" s="220">
        <v>156485.9</v>
      </c>
      <c r="BG42" s="220">
        <v>155932.7</v>
      </c>
      <c r="BH42" s="220">
        <v>161120.7</v>
      </c>
      <c r="BI42" s="220">
        <v>154898.5</v>
      </c>
      <c r="BJ42" s="220">
        <v>157530.7</v>
      </c>
      <c r="BK42" s="220">
        <v>157530.1</v>
      </c>
      <c r="BL42" s="220">
        <v>157282.9</v>
      </c>
      <c r="BM42" s="220">
        <v>159155.1</v>
      </c>
      <c r="BN42" s="220">
        <v>163142.7</v>
      </c>
      <c r="BO42" s="220">
        <v>162826.8</v>
      </c>
      <c r="BP42" s="220">
        <v>163583.9</v>
      </c>
      <c r="BQ42" s="220">
        <v>164634</v>
      </c>
      <c r="BR42" s="220">
        <v>174811.4</v>
      </c>
      <c r="BS42" s="220">
        <v>176878.8</v>
      </c>
      <c r="BT42" s="220">
        <v>179544.9</v>
      </c>
      <c r="BU42" s="220">
        <v>180618.35</v>
      </c>
      <c r="BV42" s="220">
        <v>185816.84</v>
      </c>
      <c r="BW42" s="220">
        <v>185937.4</v>
      </c>
      <c r="BX42" s="220">
        <v>187288.2</v>
      </c>
      <c r="BY42" s="220">
        <v>194124.14</v>
      </c>
      <c r="BZ42" s="220">
        <v>195639.8</v>
      </c>
      <c r="CA42" s="220">
        <v>194323.5</v>
      </c>
      <c r="CB42" s="220">
        <v>195926.1</v>
      </c>
      <c r="CC42" s="220">
        <v>196317.7</v>
      </c>
      <c r="CD42" s="220">
        <v>203906</v>
      </c>
      <c r="CE42" s="220">
        <v>205430.7</v>
      </c>
      <c r="CF42" s="220">
        <v>206429</v>
      </c>
      <c r="CG42" s="220">
        <v>205689.7</v>
      </c>
      <c r="CH42" s="220">
        <v>206902.9</v>
      </c>
      <c r="CI42" s="220">
        <v>207537.3</v>
      </c>
      <c r="CJ42" s="220">
        <v>207372.9</v>
      </c>
      <c r="CK42" s="220">
        <v>217049.7</v>
      </c>
      <c r="CL42" s="220">
        <v>210616.3</v>
      </c>
      <c r="CM42" s="220">
        <v>212782.2</v>
      </c>
      <c r="CN42" s="220">
        <v>216601</v>
      </c>
      <c r="CO42" s="220">
        <v>213110.5</v>
      </c>
      <c r="CP42" s="220">
        <v>217810.6</v>
      </c>
      <c r="CQ42" s="220">
        <v>219159.5</v>
      </c>
      <c r="CR42" s="232">
        <v>219946.6</v>
      </c>
    </row>
    <row r="43" spans="1:96" ht="16.5" customHeight="1" hidden="1">
      <c r="A43" s="229" t="s">
        <v>40</v>
      </c>
      <c r="B43" s="217">
        <f aca="true" t="shared" si="23" ref="B43:AT43">SUM(B44:B45)</f>
        <v>25285.5</v>
      </c>
      <c r="C43" s="217">
        <f t="shared" si="23"/>
        <v>33776.4</v>
      </c>
      <c r="D43" s="217">
        <f t="shared" si="23"/>
        <v>43793.78</v>
      </c>
      <c r="E43" s="217">
        <f t="shared" si="23"/>
        <v>51136.82</v>
      </c>
      <c r="F43" s="217">
        <f t="shared" si="23"/>
        <v>55147.31614</v>
      </c>
      <c r="G43" s="217">
        <f t="shared" si="23"/>
        <v>56381.76</v>
      </c>
      <c r="H43" s="217">
        <f t="shared" si="23"/>
        <v>59868.520000000004</v>
      </c>
      <c r="I43" s="217">
        <f t="shared" si="23"/>
        <v>76149.6</v>
      </c>
      <c r="J43" s="223">
        <f t="shared" si="23"/>
        <v>100556.4</v>
      </c>
      <c r="K43" s="223">
        <f t="shared" si="23"/>
        <v>136493.8</v>
      </c>
      <c r="L43" s="223">
        <f t="shared" si="23"/>
        <v>182510.26032</v>
      </c>
      <c r="M43" s="223">
        <f t="shared" si="23"/>
        <v>178723.03447999997</v>
      </c>
      <c r="N43" s="223">
        <f t="shared" si="23"/>
        <v>181494.6265</v>
      </c>
      <c r="O43" s="223">
        <f t="shared" si="23"/>
        <v>187476.5</v>
      </c>
      <c r="P43" s="223">
        <f t="shared" si="23"/>
        <v>184007.58496</v>
      </c>
      <c r="Q43" s="223">
        <f t="shared" si="23"/>
        <v>189121.47608</v>
      </c>
      <c r="R43" s="223">
        <f t="shared" si="23"/>
        <v>202388.04462</v>
      </c>
      <c r="S43" s="223">
        <f t="shared" si="23"/>
        <v>192954.63157</v>
      </c>
      <c r="T43" s="223">
        <f t="shared" si="23"/>
        <v>195975.12888</v>
      </c>
      <c r="U43" s="223">
        <f t="shared" si="23"/>
        <v>200634.5</v>
      </c>
      <c r="V43" s="223">
        <f t="shared" si="23"/>
        <v>199580.80933</v>
      </c>
      <c r="W43" s="223">
        <f t="shared" si="23"/>
        <v>201455.63009</v>
      </c>
      <c r="X43" s="223">
        <f t="shared" si="23"/>
        <v>210388.6</v>
      </c>
      <c r="Y43" s="223">
        <f t="shared" si="23"/>
        <v>207511.90000000002</v>
      </c>
      <c r="Z43" s="223">
        <f t="shared" si="23"/>
        <v>209816.59999999998</v>
      </c>
      <c r="AA43" s="223">
        <f t="shared" si="23"/>
        <v>222624.19999999998</v>
      </c>
      <c r="AB43" s="223">
        <f t="shared" si="23"/>
        <v>223952.8</v>
      </c>
      <c r="AC43" s="223">
        <f t="shared" si="23"/>
        <v>224749.2</v>
      </c>
      <c r="AD43" s="223">
        <f t="shared" si="23"/>
        <v>219100.9</v>
      </c>
      <c r="AE43" s="223">
        <f t="shared" si="23"/>
        <v>223454.59999999998</v>
      </c>
      <c r="AF43" s="223">
        <f t="shared" si="23"/>
        <v>218464.40000000002</v>
      </c>
      <c r="AG43" s="223">
        <f t="shared" si="23"/>
        <v>222804.5</v>
      </c>
      <c r="AH43" s="223">
        <f t="shared" si="23"/>
        <v>225335.58604000002</v>
      </c>
      <c r="AI43" s="223">
        <f t="shared" si="23"/>
        <v>227302</v>
      </c>
      <c r="AJ43" s="223">
        <f t="shared" si="23"/>
        <v>226841.90000000002</v>
      </c>
      <c r="AK43" s="223">
        <f t="shared" si="23"/>
        <v>226822.34</v>
      </c>
      <c r="AL43" s="223">
        <f t="shared" si="23"/>
        <v>235942.1</v>
      </c>
      <c r="AM43" s="223">
        <f t="shared" si="23"/>
        <v>238452.7</v>
      </c>
      <c r="AN43" s="223">
        <f t="shared" si="23"/>
        <v>238986.59999999998</v>
      </c>
      <c r="AO43" s="223">
        <f t="shared" si="23"/>
        <v>235516.1</v>
      </c>
      <c r="AP43" s="223">
        <f t="shared" si="23"/>
        <v>239716.80000000002</v>
      </c>
      <c r="AQ43" s="223">
        <f t="shared" si="23"/>
        <v>237881.7</v>
      </c>
      <c r="AR43" s="223">
        <f t="shared" si="23"/>
        <v>238895.5</v>
      </c>
      <c r="AS43" s="223">
        <f t="shared" si="23"/>
        <v>246545.91</v>
      </c>
      <c r="AT43" s="223">
        <f t="shared" si="23"/>
        <v>251459.30000000002</v>
      </c>
      <c r="AU43" s="223">
        <v>246739.2</v>
      </c>
      <c r="AV43" s="223">
        <f aca="true" t="shared" si="24" ref="AV43:CM43">SUM(AV44:AV45)</f>
        <v>252179.80000000002</v>
      </c>
      <c r="AW43" s="223">
        <f t="shared" si="24"/>
        <v>255987.19999999998</v>
      </c>
      <c r="AX43" s="223">
        <f t="shared" si="24"/>
        <v>259457.69999999998</v>
      </c>
      <c r="AY43" s="223">
        <f t="shared" si="24"/>
        <v>254545.9</v>
      </c>
      <c r="AZ43" s="223">
        <f t="shared" si="24"/>
        <v>261542.09999999998</v>
      </c>
      <c r="BA43" s="223">
        <f t="shared" si="24"/>
        <v>255580.2</v>
      </c>
      <c r="BB43" s="223">
        <f t="shared" si="24"/>
        <v>257060.7</v>
      </c>
      <c r="BC43" s="223">
        <f t="shared" si="24"/>
        <v>255083.90000000002</v>
      </c>
      <c r="BD43" s="223">
        <f t="shared" si="24"/>
        <v>255443.6</v>
      </c>
      <c r="BE43" s="223">
        <f t="shared" si="24"/>
        <v>253959.2</v>
      </c>
      <c r="BF43" s="223">
        <f t="shared" si="24"/>
        <v>261718.59999999998</v>
      </c>
      <c r="BG43" s="223">
        <f t="shared" si="24"/>
        <v>265653.6</v>
      </c>
      <c r="BH43" s="223">
        <f t="shared" si="24"/>
        <v>280763.8</v>
      </c>
      <c r="BI43" s="223">
        <f t="shared" si="24"/>
        <v>268239.7</v>
      </c>
      <c r="BJ43" s="223">
        <f t="shared" si="24"/>
        <v>272404.3</v>
      </c>
      <c r="BK43" s="223">
        <f t="shared" si="24"/>
        <v>268935.10000000003</v>
      </c>
      <c r="BL43" s="223">
        <f t="shared" si="24"/>
        <v>265250.9</v>
      </c>
      <c r="BM43" s="223">
        <f t="shared" si="24"/>
        <v>266229.1</v>
      </c>
      <c r="BN43" s="223">
        <f t="shared" si="24"/>
        <v>273834.7</v>
      </c>
      <c r="BO43" s="223">
        <f t="shared" si="24"/>
        <v>268640.8</v>
      </c>
      <c r="BP43" s="223">
        <f t="shared" si="24"/>
        <v>270339.9</v>
      </c>
      <c r="BQ43" s="223">
        <f t="shared" si="24"/>
        <v>272131.4</v>
      </c>
      <c r="BR43" s="223">
        <f t="shared" si="24"/>
        <v>277077.8</v>
      </c>
      <c r="BS43" s="223">
        <f t="shared" si="24"/>
        <v>281841</v>
      </c>
      <c r="BT43" s="223">
        <f t="shared" si="24"/>
        <v>299142.6</v>
      </c>
      <c r="BU43" s="223">
        <f t="shared" si="24"/>
        <v>290246.1</v>
      </c>
      <c r="BV43" s="223">
        <f t="shared" si="24"/>
        <v>294597.6</v>
      </c>
      <c r="BW43" s="223">
        <f t="shared" si="24"/>
        <v>293582.4</v>
      </c>
      <c r="BX43" s="223">
        <f t="shared" si="24"/>
        <v>297926.2</v>
      </c>
      <c r="BY43" s="223">
        <f t="shared" si="24"/>
        <v>306275.5</v>
      </c>
      <c r="BZ43" s="223">
        <f t="shared" si="24"/>
        <v>302421.1</v>
      </c>
      <c r="CA43" s="223">
        <f t="shared" si="24"/>
        <v>300994.80000000005</v>
      </c>
      <c r="CB43" s="223">
        <f t="shared" si="24"/>
        <v>296362.8</v>
      </c>
      <c r="CC43" s="223">
        <f t="shared" si="24"/>
        <v>298090.6</v>
      </c>
      <c r="CD43" s="223">
        <f t="shared" si="24"/>
        <v>303627.5</v>
      </c>
      <c r="CE43" s="223">
        <f t="shared" si="24"/>
        <v>309343.8</v>
      </c>
      <c r="CF43" s="223">
        <f t="shared" si="24"/>
        <v>323482.05</v>
      </c>
      <c r="CG43" s="223">
        <f t="shared" si="24"/>
        <v>317877.3</v>
      </c>
      <c r="CH43" s="223">
        <f t="shared" si="24"/>
        <v>322256.7</v>
      </c>
      <c r="CI43" s="223">
        <f t="shared" si="24"/>
        <v>326781</v>
      </c>
      <c r="CJ43" s="223">
        <f t="shared" si="24"/>
        <v>326123.80000000005</v>
      </c>
      <c r="CK43" s="223">
        <f t="shared" si="24"/>
        <v>337023.19999999995</v>
      </c>
      <c r="CL43" s="223">
        <f t="shared" si="24"/>
        <v>336593.4</v>
      </c>
      <c r="CM43" s="223">
        <f t="shared" si="24"/>
        <v>330993.9</v>
      </c>
      <c r="CN43" s="223">
        <f>SUM(CN44:CN45)</f>
        <v>333090.5</v>
      </c>
      <c r="CO43" s="223">
        <f>SUM(CO44:CO45)</f>
        <v>328871.19999999995</v>
      </c>
      <c r="CP43" s="223">
        <f>SUM(CP44:CP45)</f>
        <v>337195.7</v>
      </c>
      <c r="CQ43" s="223">
        <f>SUM(CQ44:CQ45)</f>
        <v>342564.6</v>
      </c>
      <c r="CR43" s="234">
        <f>SUM(CR44:CR45)</f>
        <v>352996.9</v>
      </c>
    </row>
    <row r="44" spans="1:96" ht="16.5" customHeight="1" hidden="1">
      <c r="A44" s="231" t="s">
        <v>41</v>
      </c>
      <c r="B44" s="215">
        <f>5380.06+7370.36-B21-B15+4.6</f>
        <v>8096.42</v>
      </c>
      <c r="C44" s="216">
        <f>10059.5+2701.7</f>
        <v>12761.2</v>
      </c>
      <c r="D44" s="214">
        <f>13802.08+11561.21-D21-D15</f>
        <v>17195.69</v>
      </c>
      <c r="E44" s="214">
        <f>18506.35+11403.17-E21-E15</f>
        <v>21969.92</v>
      </c>
      <c r="F44" s="214">
        <f>17833.4+14389-F21-F15</f>
        <v>22565.300000000003</v>
      </c>
      <c r="G44" s="214">
        <f>15947.06+15942.9-G21-G15+243</f>
        <v>22749.36</v>
      </c>
      <c r="H44" s="214">
        <f>14938.7+25320.8-H21-H15+2.2</f>
        <v>19336.5</v>
      </c>
      <c r="I44" s="214">
        <v>22056.6</v>
      </c>
      <c r="J44" s="219">
        <v>31495.2</v>
      </c>
      <c r="K44" s="219">
        <f>26894.2+31040.2</f>
        <v>57934.4</v>
      </c>
      <c r="L44" s="220">
        <v>95049.07248</v>
      </c>
      <c r="M44" s="220">
        <v>95853.28291</v>
      </c>
      <c r="N44" s="220">
        <v>99885.7795</v>
      </c>
      <c r="O44" s="220">
        <v>103466.7</v>
      </c>
      <c r="P44" s="220">
        <v>100377.5644</v>
      </c>
      <c r="Q44" s="221">
        <v>101191.82568</v>
      </c>
      <c r="R44" s="220">
        <v>116743.93268</v>
      </c>
      <c r="S44" s="221">
        <v>110207.91632</v>
      </c>
      <c r="T44" s="220">
        <v>111044.04876</v>
      </c>
      <c r="U44" s="220">
        <v>114225.5</v>
      </c>
      <c r="V44" s="221">
        <v>111588.78669</v>
      </c>
      <c r="W44" s="220">
        <v>113551.16773</v>
      </c>
      <c r="X44" s="220">
        <v>115406.3</v>
      </c>
      <c r="Y44" s="220">
        <v>114447.1</v>
      </c>
      <c r="Z44" s="220">
        <v>118945.9</v>
      </c>
      <c r="AA44" s="220">
        <v>132333.3</v>
      </c>
      <c r="AB44" s="220">
        <v>136749.8</v>
      </c>
      <c r="AC44" s="220">
        <v>139079.6</v>
      </c>
      <c r="AD44" s="220">
        <v>139468.8</v>
      </c>
      <c r="AE44" s="220">
        <v>143289.15</v>
      </c>
      <c r="AF44" s="220">
        <v>140523.1</v>
      </c>
      <c r="AG44" s="220">
        <v>145519.7</v>
      </c>
      <c r="AH44" s="220">
        <v>143913.36162</v>
      </c>
      <c r="AI44" s="220">
        <v>150647.6</v>
      </c>
      <c r="AJ44" s="220">
        <v>154559.85</v>
      </c>
      <c r="AK44" s="220">
        <v>163262.34</v>
      </c>
      <c r="AL44" s="220">
        <v>171420.1</v>
      </c>
      <c r="AM44" s="220">
        <v>171972.9</v>
      </c>
      <c r="AN44" s="220">
        <v>174603.8</v>
      </c>
      <c r="AO44" s="220">
        <v>177703</v>
      </c>
      <c r="AP44" s="220">
        <v>181277.2</v>
      </c>
      <c r="AQ44" s="220">
        <v>179100.6</v>
      </c>
      <c r="AR44" s="220">
        <v>180442.6</v>
      </c>
      <c r="AS44" s="220">
        <v>189578.35</v>
      </c>
      <c r="AT44" s="220">
        <v>192763.7</v>
      </c>
      <c r="AU44" s="220">
        <v>191036.55</v>
      </c>
      <c r="AV44" s="220">
        <v>193674.7</v>
      </c>
      <c r="AW44" s="220">
        <v>205048.3</v>
      </c>
      <c r="AX44" s="220">
        <v>206772.8</v>
      </c>
      <c r="AY44" s="220">
        <v>204174.5</v>
      </c>
      <c r="AZ44" s="220">
        <v>206778.9</v>
      </c>
      <c r="BA44" s="220">
        <v>202222</v>
      </c>
      <c r="BB44" s="220">
        <v>205090.6</v>
      </c>
      <c r="BC44" s="220">
        <v>203968.2</v>
      </c>
      <c r="BD44" s="220">
        <v>205420.5</v>
      </c>
      <c r="BE44" s="220">
        <v>207048.2</v>
      </c>
      <c r="BF44" s="220">
        <v>210137.4</v>
      </c>
      <c r="BG44" s="220">
        <v>212529.4</v>
      </c>
      <c r="BH44" s="220">
        <v>216343.8</v>
      </c>
      <c r="BI44" s="220">
        <v>212318.55</v>
      </c>
      <c r="BJ44" s="220">
        <v>215326.9</v>
      </c>
      <c r="BK44" s="220">
        <v>211607.7</v>
      </c>
      <c r="BL44" s="220">
        <v>205350.7</v>
      </c>
      <c r="BM44" s="220">
        <v>207496.9</v>
      </c>
      <c r="BN44" s="220">
        <v>212213.3</v>
      </c>
      <c r="BO44" s="220">
        <v>208764.9</v>
      </c>
      <c r="BP44" s="220">
        <v>210619.9</v>
      </c>
      <c r="BQ44" s="220">
        <v>212583.7</v>
      </c>
      <c r="BR44" s="220">
        <v>217068</v>
      </c>
      <c r="BS44" s="220">
        <v>220887.3</v>
      </c>
      <c r="BT44" s="220">
        <v>229871</v>
      </c>
      <c r="BU44" s="220">
        <v>221501.1</v>
      </c>
      <c r="BV44" s="220">
        <v>223784.1</v>
      </c>
      <c r="BW44" s="220">
        <v>226983.5</v>
      </c>
      <c r="BX44" s="220">
        <v>229911.1</v>
      </c>
      <c r="BY44" s="220">
        <v>231519</v>
      </c>
      <c r="BZ44" s="220">
        <v>227706.6</v>
      </c>
      <c r="CA44" s="220">
        <v>228142.7</v>
      </c>
      <c r="CB44" s="220">
        <v>224931.3</v>
      </c>
      <c r="CC44" s="220">
        <v>227548.9</v>
      </c>
      <c r="CD44" s="220">
        <v>236747</v>
      </c>
      <c r="CE44" s="220">
        <v>238954.8</v>
      </c>
      <c r="CF44" s="220">
        <v>240873.5</v>
      </c>
      <c r="CG44" s="220">
        <v>241766.5</v>
      </c>
      <c r="CH44" s="220">
        <v>244113.2</v>
      </c>
      <c r="CI44" s="220">
        <v>247748.6</v>
      </c>
      <c r="CJ44" s="220">
        <v>250055.2</v>
      </c>
      <c r="CK44" s="220">
        <v>261700.8</v>
      </c>
      <c r="CL44" s="220">
        <v>257104.8</v>
      </c>
      <c r="CM44" s="220">
        <v>252342.9</v>
      </c>
      <c r="CN44" s="220">
        <v>255742.4</v>
      </c>
      <c r="CO44" s="220">
        <v>253521.8</v>
      </c>
      <c r="CP44" s="220">
        <v>258296</v>
      </c>
      <c r="CQ44" s="220">
        <v>260260.5</v>
      </c>
      <c r="CR44" s="232">
        <v>261533.4</v>
      </c>
    </row>
    <row r="45" spans="1:96" ht="16.5" customHeight="1" hidden="1" thickBot="1">
      <c r="A45" s="231" t="s">
        <v>42</v>
      </c>
      <c r="B45" s="215">
        <f>12448.1+82.38+B15+B21</f>
        <v>17189.08</v>
      </c>
      <c r="C45" s="216">
        <f>14531.5+6483.7</f>
        <v>21015.2</v>
      </c>
      <c r="D45" s="214">
        <f>18371+59.49+D21+D15</f>
        <v>26598.090000000004</v>
      </c>
      <c r="E45" s="214">
        <f>21120.4+106.9+E21+E15</f>
        <v>29166.9</v>
      </c>
      <c r="F45" s="214">
        <f>22757.83614+167.08+F21+F15</f>
        <v>32582.01614</v>
      </c>
      <c r="G45" s="214">
        <f>24063.7+185.1+G21+G15</f>
        <v>33632.4</v>
      </c>
      <c r="H45" s="214">
        <f>19100.52+506.3+H21+H15</f>
        <v>40532.020000000004</v>
      </c>
      <c r="I45" s="214">
        <v>54093</v>
      </c>
      <c r="J45" s="219">
        <v>69061.2</v>
      </c>
      <c r="K45" s="219">
        <v>78559.4</v>
      </c>
      <c r="L45" s="220">
        <v>87461.18784</v>
      </c>
      <c r="M45" s="220">
        <v>82869.75157</v>
      </c>
      <c r="N45" s="220">
        <v>81608.847</v>
      </c>
      <c r="O45" s="220">
        <v>84009.8</v>
      </c>
      <c r="P45" s="220">
        <v>83630.02056</v>
      </c>
      <c r="Q45" s="221">
        <v>87929.6504</v>
      </c>
      <c r="R45" s="220">
        <v>85644.11194</v>
      </c>
      <c r="S45" s="221">
        <v>82746.71525</v>
      </c>
      <c r="T45" s="220">
        <v>84931.08012</v>
      </c>
      <c r="U45" s="220">
        <v>86409</v>
      </c>
      <c r="V45" s="221">
        <v>87992.02264</v>
      </c>
      <c r="W45" s="220">
        <v>87904.46236</v>
      </c>
      <c r="X45" s="220">
        <v>94982.3</v>
      </c>
      <c r="Y45" s="220">
        <v>93064.8</v>
      </c>
      <c r="Z45" s="220">
        <v>90870.7</v>
      </c>
      <c r="AA45" s="220">
        <v>90290.9</v>
      </c>
      <c r="AB45" s="220">
        <v>87203</v>
      </c>
      <c r="AC45" s="220">
        <v>85669.6</v>
      </c>
      <c r="AD45" s="220">
        <v>79632.1</v>
      </c>
      <c r="AE45" s="220">
        <v>80165.45</v>
      </c>
      <c r="AF45" s="220">
        <v>77941.3</v>
      </c>
      <c r="AG45" s="220">
        <v>77284.8</v>
      </c>
      <c r="AH45" s="220">
        <v>81422.22442</v>
      </c>
      <c r="AI45" s="220">
        <v>76654.4</v>
      </c>
      <c r="AJ45" s="220">
        <v>72282.05</v>
      </c>
      <c r="AK45" s="220">
        <v>63560</v>
      </c>
      <c r="AL45" s="220">
        <v>64522</v>
      </c>
      <c r="AM45" s="220">
        <v>66479.8</v>
      </c>
      <c r="AN45" s="220">
        <v>64382.8</v>
      </c>
      <c r="AO45" s="220">
        <v>57813.1</v>
      </c>
      <c r="AP45" s="220">
        <v>58439.6</v>
      </c>
      <c r="AQ45" s="220">
        <v>58781.1</v>
      </c>
      <c r="AR45" s="220">
        <v>58452.9</v>
      </c>
      <c r="AS45" s="220">
        <v>56967.56</v>
      </c>
      <c r="AT45" s="220">
        <v>58695.6</v>
      </c>
      <c r="AU45" s="220">
        <v>55702.65</v>
      </c>
      <c r="AV45" s="220">
        <v>58505.1</v>
      </c>
      <c r="AW45" s="220">
        <v>50938.9</v>
      </c>
      <c r="AX45" s="220">
        <v>52684.9</v>
      </c>
      <c r="AY45" s="220">
        <v>50371.4</v>
      </c>
      <c r="AZ45" s="220">
        <v>54763.2</v>
      </c>
      <c r="BA45" s="220">
        <v>53358.2</v>
      </c>
      <c r="BB45" s="220">
        <v>51970.1</v>
      </c>
      <c r="BC45" s="220">
        <v>51115.7</v>
      </c>
      <c r="BD45" s="220">
        <v>50023.1</v>
      </c>
      <c r="BE45" s="220">
        <v>46911</v>
      </c>
      <c r="BF45" s="220">
        <v>51581.2</v>
      </c>
      <c r="BG45" s="220">
        <v>53124.2</v>
      </c>
      <c r="BH45" s="220">
        <v>64420</v>
      </c>
      <c r="BI45" s="220">
        <v>55921.15</v>
      </c>
      <c r="BJ45" s="220">
        <v>57077.4</v>
      </c>
      <c r="BK45" s="220">
        <v>57327.4</v>
      </c>
      <c r="BL45" s="220">
        <v>59900.2</v>
      </c>
      <c r="BM45" s="220">
        <v>58732.2</v>
      </c>
      <c r="BN45" s="220">
        <v>61621.4</v>
      </c>
      <c r="BO45" s="220">
        <v>59875.9</v>
      </c>
      <c r="BP45" s="220">
        <v>59720</v>
      </c>
      <c r="BQ45" s="220">
        <v>59547.7</v>
      </c>
      <c r="BR45" s="220">
        <v>60009.8</v>
      </c>
      <c r="BS45" s="220">
        <v>60953.7</v>
      </c>
      <c r="BT45" s="220">
        <v>69271.6</v>
      </c>
      <c r="BU45" s="220">
        <v>68745</v>
      </c>
      <c r="BV45" s="220">
        <v>70813.5</v>
      </c>
      <c r="BW45" s="220">
        <v>66598.9</v>
      </c>
      <c r="BX45" s="220">
        <v>68015.1</v>
      </c>
      <c r="BY45" s="220">
        <v>74756.5</v>
      </c>
      <c r="BZ45" s="220">
        <v>74714.5</v>
      </c>
      <c r="CA45" s="220">
        <v>72852.1</v>
      </c>
      <c r="CB45" s="220">
        <v>71431.5</v>
      </c>
      <c r="CC45" s="220">
        <v>70541.7</v>
      </c>
      <c r="CD45" s="220">
        <v>66880.5</v>
      </c>
      <c r="CE45" s="220">
        <v>70389</v>
      </c>
      <c r="CF45" s="220">
        <v>82608.55</v>
      </c>
      <c r="CG45" s="220">
        <v>76110.8</v>
      </c>
      <c r="CH45" s="220">
        <v>78143.5</v>
      </c>
      <c r="CI45" s="220">
        <v>79032.4</v>
      </c>
      <c r="CJ45" s="220">
        <v>76068.6</v>
      </c>
      <c r="CK45" s="220">
        <v>75322.4</v>
      </c>
      <c r="CL45" s="220">
        <v>79488.6</v>
      </c>
      <c r="CM45" s="220">
        <v>78651</v>
      </c>
      <c r="CN45" s="220">
        <v>77348.1</v>
      </c>
      <c r="CO45" s="220">
        <v>75349.4</v>
      </c>
      <c r="CP45" s="220">
        <v>78899.7</v>
      </c>
      <c r="CQ45" s="220">
        <v>82304.1</v>
      </c>
      <c r="CR45" s="232">
        <v>91463.5</v>
      </c>
    </row>
    <row r="46" spans="1:96" ht="16.5" customHeight="1">
      <c r="A46" s="235" t="s">
        <v>62</v>
      </c>
      <c r="B46" s="236"/>
      <c r="C46" s="237"/>
      <c r="D46" s="238"/>
      <c r="E46" s="238"/>
      <c r="F46" s="238"/>
      <c r="G46" s="238"/>
      <c r="H46" s="238"/>
      <c r="I46" s="238"/>
      <c r="J46" s="239">
        <f>J21/J5</f>
        <v>0.39375614083240845</v>
      </c>
      <c r="K46" s="239">
        <f aca="true" t="shared" si="25" ref="K46:BV46">K21/K5</f>
        <v>0.20612218283907405</v>
      </c>
      <c r="L46" s="239">
        <f t="shared" si="25"/>
        <v>0.17224616912031815</v>
      </c>
      <c r="M46" s="239">
        <f t="shared" si="25"/>
        <v>0.14550841245950438</v>
      </c>
      <c r="N46" s="239">
        <f t="shared" si="25"/>
        <v>0.14792394682406462</v>
      </c>
      <c r="O46" s="239">
        <f t="shared" si="25"/>
        <v>0.16201175023574818</v>
      </c>
      <c r="P46" s="239">
        <f t="shared" si="25"/>
        <v>0.14104472924657854</v>
      </c>
      <c r="Q46" s="239">
        <f t="shared" si="25"/>
        <v>0.13493020744616854</v>
      </c>
      <c r="R46" s="239">
        <f t="shared" si="25"/>
        <v>0.1506266343806924</v>
      </c>
      <c r="S46" s="239">
        <f t="shared" si="25"/>
        <v>0.1336143102149222</v>
      </c>
      <c r="T46" s="239">
        <f t="shared" si="25"/>
        <v>0.14788458191419868</v>
      </c>
      <c r="U46" s="239">
        <f t="shared" si="25"/>
        <v>0.14666571101774417</v>
      </c>
      <c r="V46" s="239">
        <f t="shared" si="25"/>
        <v>0.15682469724956297</v>
      </c>
      <c r="W46" s="239">
        <f t="shared" si="25"/>
        <v>0.15146874397302665</v>
      </c>
      <c r="X46" s="239">
        <f t="shared" si="25"/>
        <v>0.15136323926296386</v>
      </c>
      <c r="Y46" s="239">
        <f t="shared" si="25"/>
        <v>0.12283681080458518</v>
      </c>
      <c r="Z46" s="239">
        <f t="shared" si="25"/>
        <v>0.11727128921092568</v>
      </c>
      <c r="AA46" s="239">
        <f t="shared" si="25"/>
        <v>0.10477032810014729</v>
      </c>
      <c r="AB46" s="239">
        <f t="shared" si="25"/>
        <v>0.10460333811559315</v>
      </c>
      <c r="AC46" s="239">
        <f t="shared" si="25"/>
        <v>0.108163677557028</v>
      </c>
      <c r="AD46" s="239">
        <f t="shared" si="25"/>
        <v>0.09328259263197915</v>
      </c>
      <c r="AE46" s="239">
        <f t="shared" si="25"/>
        <v>0.10984423681589012</v>
      </c>
      <c r="AF46" s="239">
        <f t="shared" si="25"/>
        <v>0.11079333749572014</v>
      </c>
      <c r="AG46" s="239">
        <f t="shared" si="25"/>
        <v>0.09836381222102786</v>
      </c>
      <c r="AH46" s="239">
        <f t="shared" si="25"/>
        <v>0.10772199332906118</v>
      </c>
      <c r="AI46" s="239">
        <f t="shared" si="25"/>
        <v>0.09144398201511646</v>
      </c>
      <c r="AJ46" s="239">
        <f t="shared" si="25"/>
        <v>0.07126373037785348</v>
      </c>
      <c r="AK46" s="239">
        <f t="shared" si="25"/>
        <v>0.0482404066972251</v>
      </c>
      <c r="AL46" s="239">
        <f t="shared" si="25"/>
        <v>0.06056146825852614</v>
      </c>
      <c r="AM46" s="239">
        <f t="shared" si="25"/>
        <v>0.07688527874315687</v>
      </c>
      <c r="AN46" s="239">
        <f t="shared" si="25"/>
        <v>0.0822309702719734</v>
      </c>
      <c r="AO46" s="239">
        <f t="shared" si="25"/>
        <v>0.062070491146889756</v>
      </c>
      <c r="AP46" s="239">
        <f t="shared" si="25"/>
        <v>0.06451863198574317</v>
      </c>
      <c r="AQ46" s="239">
        <f t="shared" si="25"/>
        <v>0.06907467030881316</v>
      </c>
      <c r="AR46" s="239">
        <f t="shared" si="25"/>
        <v>0.06862163581984593</v>
      </c>
      <c r="AS46" s="239">
        <f t="shared" si="25"/>
        <v>0.06794637428568069</v>
      </c>
      <c r="AT46" s="239">
        <f t="shared" si="25"/>
        <v>0.0696864263918654</v>
      </c>
      <c r="AU46" s="239">
        <f t="shared" si="25"/>
        <v>0.06779628044510154</v>
      </c>
      <c r="AV46" s="239">
        <f t="shared" si="25"/>
        <v>0.07596088187872303</v>
      </c>
      <c r="AW46" s="239">
        <f t="shared" si="25"/>
        <v>0.04871923283664183</v>
      </c>
      <c r="AX46" s="239">
        <f t="shared" si="25"/>
        <v>0.05940004863991317</v>
      </c>
      <c r="AY46" s="239">
        <f t="shared" si="25"/>
        <v>0.054906796770248505</v>
      </c>
      <c r="AZ46" s="239">
        <f t="shared" si="25"/>
        <v>0.06533594400289666</v>
      </c>
      <c r="BA46" s="239">
        <f t="shared" si="25"/>
        <v>0.06281824648388255</v>
      </c>
      <c r="BB46" s="239">
        <f t="shared" si="25"/>
        <v>0.05509010128736131</v>
      </c>
      <c r="BC46" s="239">
        <f t="shared" si="25"/>
        <v>0.05166125234757051</v>
      </c>
      <c r="BD46" s="239">
        <f t="shared" si="25"/>
        <v>0.046437648075739614</v>
      </c>
      <c r="BE46" s="239">
        <f t="shared" si="25"/>
        <v>0.0340381447098589</v>
      </c>
      <c r="BF46" s="239">
        <f t="shared" si="25"/>
        <v>0.048014164831998954</v>
      </c>
      <c r="BG46" s="239">
        <f t="shared" si="25"/>
        <v>0.05244367100615237</v>
      </c>
      <c r="BH46" s="239">
        <f t="shared" si="25"/>
        <v>0.08875645649474755</v>
      </c>
      <c r="BI46" s="239">
        <f t="shared" si="25"/>
        <v>0.06066104308944575</v>
      </c>
      <c r="BJ46" s="239">
        <f t="shared" si="25"/>
        <v>0.06002805388901717</v>
      </c>
      <c r="BK46" s="239">
        <f t="shared" si="25"/>
        <v>0.06338034715438781</v>
      </c>
      <c r="BL46" s="239">
        <f t="shared" si="25"/>
        <v>0.070421627221623</v>
      </c>
      <c r="BM46" s="239">
        <f t="shared" si="25"/>
        <v>0.06846809758963239</v>
      </c>
      <c r="BN46" s="239">
        <f t="shared" si="25"/>
        <v>0.08185522141642385</v>
      </c>
      <c r="BO46" s="239">
        <f t="shared" si="25"/>
        <v>0.07977083153415268</v>
      </c>
      <c r="BP46" s="239">
        <f t="shared" si="25"/>
        <v>0.07855407211440116</v>
      </c>
      <c r="BQ46" s="239">
        <f t="shared" si="25"/>
        <v>0.07922679999441445</v>
      </c>
      <c r="BR46" s="239">
        <f t="shared" si="25"/>
        <v>0.07334366015610057</v>
      </c>
      <c r="BS46" s="239">
        <f t="shared" si="25"/>
        <v>0.07637178409103006</v>
      </c>
      <c r="BT46" s="239">
        <f t="shared" si="25"/>
        <v>0.11873668277269771</v>
      </c>
      <c r="BU46" s="239">
        <f t="shared" si="25"/>
        <v>0.09914310648790803</v>
      </c>
      <c r="BV46" s="239">
        <f t="shared" si="25"/>
        <v>0.10400289452489374</v>
      </c>
      <c r="BW46" s="239">
        <f aca="true" t="shared" si="26" ref="BW46:CR46">BW21/BW5</f>
        <v>0.09495630528260551</v>
      </c>
      <c r="BX46" s="239">
        <f t="shared" si="26"/>
        <v>0.09419312568011809</v>
      </c>
      <c r="BY46" s="239">
        <f t="shared" si="26"/>
        <v>0.11304789315501894</v>
      </c>
      <c r="BZ46" s="239">
        <f t="shared" si="26"/>
        <v>0.11173724320161522</v>
      </c>
      <c r="CA46" s="239">
        <f t="shared" si="26"/>
        <v>0.10656828622952953</v>
      </c>
      <c r="CB46" s="239">
        <f t="shared" si="26"/>
        <v>0.10169393729577396</v>
      </c>
      <c r="CC46" s="239">
        <f t="shared" si="26"/>
        <v>0.09951404036222543</v>
      </c>
      <c r="CD46" s="239">
        <f t="shared" si="26"/>
        <v>0.08413895315806375</v>
      </c>
      <c r="CE46" s="239">
        <f t="shared" si="26"/>
        <v>0.09474636310797244</v>
      </c>
      <c r="CF46" s="239">
        <f t="shared" si="26"/>
        <v>0.12869738387379087</v>
      </c>
      <c r="CG46" s="239">
        <f t="shared" si="26"/>
        <v>0.11329088299164487</v>
      </c>
      <c r="CH46" s="239">
        <f t="shared" si="26"/>
        <v>0.11698966541173529</v>
      </c>
      <c r="CI46" s="239">
        <f t="shared" si="26"/>
        <v>0.11867489235910288</v>
      </c>
      <c r="CJ46" s="239">
        <f t="shared" si="26"/>
        <v>0.11080301407011693</v>
      </c>
      <c r="CK46" s="239">
        <f t="shared" si="26"/>
        <v>0.10768190439115172</v>
      </c>
      <c r="CL46" s="239">
        <f t="shared" si="26"/>
        <v>0.11696753412277247</v>
      </c>
      <c r="CM46" s="239">
        <f t="shared" si="26"/>
        <v>0.1111549185649645</v>
      </c>
      <c r="CN46" s="239">
        <f t="shared" si="26"/>
        <v>0.10382673777847161</v>
      </c>
      <c r="CO46" s="239">
        <f t="shared" si="26"/>
        <v>0.10077136581129634</v>
      </c>
      <c r="CP46" s="239">
        <f t="shared" si="26"/>
        <v>0.11141630809645556</v>
      </c>
      <c r="CQ46" s="239">
        <f t="shared" si="26"/>
        <v>0.12152423221780652</v>
      </c>
      <c r="CR46" s="240">
        <f t="shared" si="26"/>
        <v>0.14854072331533885</v>
      </c>
    </row>
    <row r="47" spans="1:96" ht="16.5" customHeight="1" thickBot="1">
      <c r="A47" s="241" t="s">
        <v>56</v>
      </c>
      <c r="B47" s="242"/>
      <c r="C47" s="243"/>
      <c r="D47" s="244"/>
      <c r="E47" s="244"/>
      <c r="F47" s="244"/>
      <c r="G47" s="244"/>
      <c r="H47" s="244"/>
      <c r="I47" s="244"/>
      <c r="J47" s="245">
        <f>J21/J64</f>
        <v>0.07550639439789607</v>
      </c>
      <c r="K47" s="245">
        <f aca="true" t="shared" si="27" ref="K47:BV47">K21/K64</f>
        <v>0.05510899807021352</v>
      </c>
      <c r="L47" s="245">
        <f t="shared" si="27"/>
        <v>0.05888334666339503</v>
      </c>
      <c r="M47" s="245">
        <f t="shared" si="27"/>
        <v>0.04618309358906056</v>
      </c>
      <c r="N47" s="245">
        <f t="shared" si="27"/>
        <v>0.047677854732729535</v>
      </c>
      <c r="O47" s="245">
        <f t="shared" si="27"/>
        <v>0.053939612857396554</v>
      </c>
      <c r="P47" s="245">
        <f t="shared" si="27"/>
        <v>0.04609003729355354</v>
      </c>
      <c r="Q47" s="245">
        <f t="shared" si="27"/>
        <v>0.045317350381814954</v>
      </c>
      <c r="R47" s="245">
        <f t="shared" si="27"/>
        <v>0.05413786183626354</v>
      </c>
      <c r="S47" s="245">
        <f t="shared" si="27"/>
        <v>0.04578494050790268</v>
      </c>
      <c r="T47" s="245">
        <f t="shared" si="27"/>
        <v>0.05146812289113834</v>
      </c>
      <c r="U47" s="245">
        <f t="shared" si="27"/>
        <v>0.05225750310779613</v>
      </c>
      <c r="V47" s="245">
        <f t="shared" si="27"/>
        <v>0.05558373290712129</v>
      </c>
      <c r="W47" s="245">
        <f t="shared" si="27"/>
        <v>0.05445871070857752</v>
      </c>
      <c r="X47" s="245">
        <f t="shared" si="27"/>
        <v>0.056353334029379025</v>
      </c>
      <c r="Y47" s="245">
        <f t="shared" si="27"/>
        <v>0.043557928913192066</v>
      </c>
      <c r="Z47" s="245">
        <f t="shared" si="27"/>
        <v>0.04364217361585783</v>
      </c>
      <c r="AA47" s="245">
        <f t="shared" si="27"/>
        <v>0.03985714285714286</v>
      </c>
      <c r="AB47" s="245">
        <f t="shared" si="27"/>
        <v>0.0400311004784689</v>
      </c>
      <c r="AC47" s="245">
        <f t="shared" si="27"/>
        <v>0.04154084073820916</v>
      </c>
      <c r="AD47" s="245">
        <f t="shared" si="27"/>
        <v>0.03492532467532467</v>
      </c>
      <c r="AE47" s="245">
        <f t="shared" si="27"/>
        <v>0.041943267259056734</v>
      </c>
      <c r="AF47" s="245">
        <f t="shared" si="27"/>
        <v>0.0413609022556391</v>
      </c>
      <c r="AG47" s="245">
        <f t="shared" si="27"/>
        <v>0.03745027341079973</v>
      </c>
      <c r="AH47" s="245">
        <f t="shared" si="27"/>
        <v>0.041479152426520845</v>
      </c>
      <c r="AI47" s="245">
        <f t="shared" si="27"/>
        <v>0.035518455228981546</v>
      </c>
      <c r="AJ47" s="245">
        <f t="shared" si="27"/>
        <v>0.027152327891871737</v>
      </c>
      <c r="AK47" s="245">
        <f t="shared" si="27"/>
        <v>0.017554949462538105</v>
      </c>
      <c r="AL47" s="245">
        <f t="shared" si="27"/>
        <v>0.022924755334509866</v>
      </c>
      <c r="AM47" s="245">
        <f t="shared" si="27"/>
        <v>0.029413605005615275</v>
      </c>
      <c r="AN47" s="245">
        <f t="shared" si="27"/>
        <v>0.03152911920423552</v>
      </c>
      <c r="AO47" s="245">
        <f t="shared" si="27"/>
        <v>0.023453553665971443</v>
      </c>
      <c r="AP47" s="245">
        <f t="shared" si="27"/>
        <v>0.02469849888214628</v>
      </c>
      <c r="AQ47" s="245">
        <f t="shared" si="27"/>
        <v>0.026240178856595336</v>
      </c>
      <c r="AR47" s="245">
        <f t="shared" si="27"/>
        <v>0.026179175982114344</v>
      </c>
      <c r="AS47" s="245">
        <f t="shared" si="27"/>
        <v>0.026777333759590797</v>
      </c>
      <c r="AT47" s="245">
        <f t="shared" si="27"/>
        <v>0.028010390025575448</v>
      </c>
      <c r="AU47" s="245">
        <f t="shared" si="27"/>
        <v>0.02673913043478261</v>
      </c>
      <c r="AV47" s="245">
        <f t="shared" si="27"/>
        <v>0.030050387791471095</v>
      </c>
      <c r="AW47" s="245">
        <f t="shared" si="27"/>
        <v>0.018627824681124623</v>
      </c>
      <c r="AX47" s="245">
        <f t="shared" si="27"/>
        <v>0.023019549245925225</v>
      </c>
      <c r="AY47" s="245">
        <f t="shared" si="27"/>
        <v>0.020875441293413146</v>
      </c>
      <c r="AZ47" s="245">
        <f t="shared" si="27"/>
        <v>0.02552332365261</v>
      </c>
      <c r="BA47" s="245">
        <f t="shared" si="27"/>
        <v>0.02398040236041566</v>
      </c>
      <c r="BB47" s="245">
        <f t="shared" si="27"/>
        <v>0.021152061838732014</v>
      </c>
      <c r="BC47" s="245">
        <f t="shared" si="27"/>
        <v>0.019682925940375427</v>
      </c>
      <c r="BD47" s="245">
        <f t="shared" si="27"/>
        <v>0.017717755036077178</v>
      </c>
      <c r="BE47" s="245">
        <f t="shared" si="27"/>
        <v>0.012911398379589108</v>
      </c>
      <c r="BF47" s="245">
        <f t="shared" si="27"/>
        <v>0.01876927157983789</v>
      </c>
      <c r="BG47" s="245">
        <f t="shared" si="27"/>
        <v>0.02080904937527371</v>
      </c>
      <c r="BH47" s="245">
        <f t="shared" si="27"/>
        <v>0.037296750401111134</v>
      </c>
      <c r="BI47" s="245">
        <f t="shared" si="27"/>
        <v>0.022909285048740857</v>
      </c>
      <c r="BJ47" s="245">
        <f t="shared" si="27"/>
        <v>0.023022200396301897</v>
      </c>
      <c r="BK47" s="245">
        <f t="shared" si="27"/>
        <v>0.02399831274622797</v>
      </c>
      <c r="BL47" s="245">
        <f t="shared" si="27"/>
        <v>0.02629913894303914</v>
      </c>
      <c r="BM47" s="245">
        <f t="shared" si="27"/>
        <v>0.025663884518855318</v>
      </c>
      <c r="BN47" s="245">
        <f t="shared" si="27"/>
        <v>0.03155829092906804</v>
      </c>
      <c r="BO47" s="245">
        <f t="shared" si="27"/>
        <v>0.030171346928040826</v>
      </c>
      <c r="BP47" s="245">
        <f t="shared" si="27"/>
        <v>0.02989905480561806</v>
      </c>
      <c r="BQ47" s="245">
        <f t="shared" si="27"/>
        <v>0.030354939961980472</v>
      </c>
      <c r="BR47" s="245">
        <f t="shared" si="27"/>
        <v>0.028611650892777448</v>
      </c>
      <c r="BS47" s="245">
        <f t="shared" si="27"/>
        <v>0.0303050995217852</v>
      </c>
      <c r="BT47" s="245">
        <f t="shared" si="27"/>
        <v>0.04984038649620646</v>
      </c>
      <c r="BU47" s="245">
        <f t="shared" si="27"/>
        <v>0.03790153627145897</v>
      </c>
      <c r="BV47" s="245">
        <f t="shared" si="27"/>
        <v>0.040355476972787345</v>
      </c>
      <c r="BW47" s="245">
        <f aca="true" t="shared" si="28" ref="BW47:CR47">BW21/BW64</f>
        <v>0.036718228705534754</v>
      </c>
      <c r="BX47" s="245">
        <f t="shared" si="28"/>
        <v>0.036962029051096384</v>
      </c>
      <c r="BY47" s="245">
        <f t="shared" si="28"/>
        <v>0.0456039676102482</v>
      </c>
      <c r="BZ47" s="245">
        <f t="shared" si="28"/>
        <v>0.04450798561380391</v>
      </c>
      <c r="CA47" s="245">
        <f t="shared" si="28"/>
        <v>0.042248848105930784</v>
      </c>
      <c r="CB47" s="245">
        <f t="shared" si="28"/>
        <v>0.03969599111096827</v>
      </c>
      <c r="CC47" s="245">
        <f t="shared" si="28"/>
        <v>0.03907154084716076</v>
      </c>
      <c r="CD47" s="245">
        <f t="shared" si="28"/>
        <v>0.03364853078351451</v>
      </c>
      <c r="CE47" s="245">
        <f t="shared" si="28"/>
        <v>0.038603960497758376</v>
      </c>
      <c r="CF47" s="245">
        <f t="shared" si="28"/>
        <v>0.054612750885478165</v>
      </c>
      <c r="CG47" s="245">
        <f t="shared" si="28"/>
        <v>0.04220886075949367</v>
      </c>
      <c r="CH47" s="245">
        <f t="shared" si="28"/>
        <v>0.04418741209563994</v>
      </c>
      <c r="CI47" s="245">
        <f t="shared" si="28"/>
        <v>0.04545323488045007</v>
      </c>
      <c r="CJ47" s="245">
        <f t="shared" si="28"/>
        <v>0.04235290670417253</v>
      </c>
      <c r="CK47" s="245">
        <f t="shared" si="28"/>
        <v>0.04253551336146273</v>
      </c>
      <c r="CL47" s="245">
        <f t="shared" si="28"/>
        <v>0.046144514767932486</v>
      </c>
      <c r="CM47" s="245">
        <f t="shared" si="28"/>
        <v>0.04312189404594468</v>
      </c>
      <c r="CN47" s="245">
        <f t="shared" si="28"/>
        <v>0.040534106891701824</v>
      </c>
      <c r="CO47" s="245">
        <f t="shared" si="28"/>
        <v>0.03884294421003282</v>
      </c>
      <c r="CP47" s="245">
        <f t="shared" si="28"/>
        <v>0.04403316924519456</v>
      </c>
      <c r="CQ47" s="245">
        <f t="shared" si="28"/>
        <v>0.04879266291608064</v>
      </c>
      <c r="CR47" s="246">
        <f t="shared" si="28"/>
        <v>0.061456165025785284</v>
      </c>
    </row>
    <row r="48" spans="1:98" ht="16.5" customHeight="1" thickBot="1">
      <c r="A48" s="203" t="s">
        <v>61</v>
      </c>
      <c r="B48" s="204">
        <f aca="true" t="shared" si="29" ref="B48:AT48">B51+B52</f>
        <v>3.3</v>
      </c>
      <c r="C48" s="205">
        <f t="shared" si="29"/>
        <v>41.4</v>
      </c>
      <c r="D48" s="204">
        <f t="shared" si="29"/>
        <v>73.6</v>
      </c>
      <c r="E48" s="205">
        <f t="shared" si="29"/>
        <v>226.6</v>
      </c>
      <c r="F48" s="205">
        <f t="shared" si="29"/>
        <v>672.4000000000001</v>
      </c>
      <c r="G48" s="205">
        <f t="shared" si="29"/>
        <v>2629.1</v>
      </c>
      <c r="H48" s="205">
        <f t="shared" si="29"/>
        <v>3472.3</v>
      </c>
      <c r="I48" s="205">
        <f t="shared" si="29"/>
        <v>6174.700000000001</v>
      </c>
      <c r="J48" s="205">
        <f t="shared" si="29"/>
        <v>9238.699999999999</v>
      </c>
      <c r="K48" s="205">
        <f t="shared" si="29"/>
        <v>10835.2</v>
      </c>
      <c r="L48" s="206">
        <f t="shared" si="29"/>
        <v>11948.925216</v>
      </c>
      <c r="M48" s="206">
        <f t="shared" si="29"/>
        <v>11658.64851</v>
      </c>
      <c r="N48" s="207">
        <f t="shared" si="29"/>
        <v>11612.776000000002</v>
      </c>
      <c r="O48" s="208">
        <f t="shared" si="29"/>
        <v>11504.005491</v>
      </c>
      <c r="P48" s="208">
        <f t="shared" si="29"/>
        <v>11466.9496</v>
      </c>
      <c r="Q48" s="209">
        <f t="shared" si="29"/>
        <v>11541.84824</v>
      </c>
      <c r="R48" s="210">
        <f t="shared" si="29"/>
        <v>11637.711319999999</v>
      </c>
      <c r="S48" s="208">
        <f t="shared" si="29"/>
        <v>11677.714100000001</v>
      </c>
      <c r="T48" s="208">
        <f t="shared" si="29"/>
        <v>11597.09276</v>
      </c>
      <c r="U48" s="208">
        <f t="shared" si="29"/>
        <v>11708.48778</v>
      </c>
      <c r="V48" s="209">
        <f t="shared" si="29"/>
        <v>11922.022079999999</v>
      </c>
      <c r="W48" s="208">
        <f t="shared" si="29"/>
        <v>11923.50922</v>
      </c>
      <c r="X48" s="209">
        <f t="shared" si="29"/>
        <v>12879.4</v>
      </c>
      <c r="Y48" s="209">
        <f t="shared" si="29"/>
        <v>12622</v>
      </c>
      <c r="Z48" s="209">
        <f t="shared" si="29"/>
        <v>12595.9</v>
      </c>
      <c r="AA48" s="209">
        <f t="shared" si="29"/>
        <v>12548</v>
      </c>
      <c r="AB48" s="209">
        <f t="shared" si="29"/>
        <v>12695.6</v>
      </c>
      <c r="AC48" s="209">
        <f t="shared" si="29"/>
        <v>13013.7</v>
      </c>
      <c r="AD48" s="209">
        <f t="shared" si="29"/>
        <v>13070.9</v>
      </c>
      <c r="AE48" s="209">
        <f t="shared" si="29"/>
        <v>13244.800000000001</v>
      </c>
      <c r="AF48" s="209">
        <f t="shared" si="29"/>
        <v>13199.4</v>
      </c>
      <c r="AG48" s="209">
        <f t="shared" si="29"/>
        <v>13493</v>
      </c>
      <c r="AH48" s="209">
        <f t="shared" si="29"/>
        <v>13557.600040000001</v>
      </c>
      <c r="AI48" s="209">
        <f t="shared" si="29"/>
        <v>13574</v>
      </c>
      <c r="AJ48" s="209">
        <f t="shared" si="29"/>
        <v>14000.699999999999</v>
      </c>
      <c r="AK48" s="208">
        <f t="shared" si="29"/>
        <v>13816.3</v>
      </c>
      <c r="AL48" s="208">
        <f t="shared" si="29"/>
        <v>13794.1</v>
      </c>
      <c r="AM48" s="208">
        <f t="shared" si="29"/>
        <v>14185.900000000001</v>
      </c>
      <c r="AN48" s="208">
        <f t="shared" si="29"/>
        <v>14201.8</v>
      </c>
      <c r="AO48" s="209">
        <f t="shared" si="29"/>
        <v>14612.9</v>
      </c>
      <c r="AP48" s="210">
        <f t="shared" si="29"/>
        <v>14608.400000000001</v>
      </c>
      <c r="AQ48" s="211">
        <f t="shared" si="29"/>
        <v>14723.8</v>
      </c>
      <c r="AR48" s="208">
        <f t="shared" si="29"/>
        <v>14762.1</v>
      </c>
      <c r="AS48" s="209">
        <f t="shared" si="29"/>
        <v>14750.4</v>
      </c>
      <c r="AT48" s="210">
        <f t="shared" si="29"/>
        <v>14754.3</v>
      </c>
      <c r="AU48" s="211">
        <v>14791.1</v>
      </c>
      <c r="AV48" s="209">
        <f aca="true" t="shared" si="30" ref="AV48:CR48">AV51+AV52</f>
        <v>14971.1</v>
      </c>
      <c r="AW48" s="209">
        <f t="shared" si="30"/>
        <v>14832.800000000001</v>
      </c>
      <c r="AX48" s="209">
        <f t="shared" si="30"/>
        <v>14920.9</v>
      </c>
      <c r="AY48" s="209">
        <f t="shared" si="30"/>
        <v>14848.9</v>
      </c>
      <c r="AZ48" s="209">
        <f t="shared" si="30"/>
        <v>14852.099999999999</v>
      </c>
      <c r="BA48" s="212">
        <f t="shared" si="30"/>
        <v>14718.300000000001</v>
      </c>
      <c r="BB48" s="212">
        <f t="shared" si="30"/>
        <v>14691.2</v>
      </c>
      <c r="BC48" s="212">
        <f t="shared" si="30"/>
        <v>14691.8</v>
      </c>
      <c r="BD48" s="212">
        <f t="shared" si="30"/>
        <v>14693.9</v>
      </c>
      <c r="BE48" s="212">
        <f t="shared" si="30"/>
        <v>14709</v>
      </c>
      <c r="BF48" s="212">
        <f t="shared" si="30"/>
        <v>14655.2</v>
      </c>
      <c r="BG48" s="212">
        <f t="shared" si="30"/>
        <v>14644.4</v>
      </c>
      <c r="BH48" s="212">
        <f t="shared" si="30"/>
        <v>14891.699999999999</v>
      </c>
      <c r="BI48" s="212">
        <f t="shared" si="30"/>
        <v>14677.7</v>
      </c>
      <c r="BJ48" s="212">
        <f t="shared" si="30"/>
        <v>14865.4</v>
      </c>
      <c r="BK48" s="212">
        <f t="shared" si="30"/>
        <v>14758.34</v>
      </c>
      <c r="BL48" s="212">
        <f t="shared" si="30"/>
        <v>14771.800000000001</v>
      </c>
      <c r="BM48" s="212">
        <f t="shared" si="30"/>
        <v>16990.7</v>
      </c>
      <c r="BN48" s="212">
        <f t="shared" si="30"/>
        <v>14781.7</v>
      </c>
      <c r="BO48" s="212">
        <f t="shared" si="30"/>
        <v>14722.5</v>
      </c>
      <c r="BP48" s="212">
        <f t="shared" si="30"/>
        <v>15195.900000000001</v>
      </c>
      <c r="BQ48" s="212">
        <f t="shared" si="30"/>
        <v>15205.6</v>
      </c>
      <c r="BR48" s="212">
        <f t="shared" si="30"/>
        <v>15290.2</v>
      </c>
      <c r="BS48" s="212">
        <f t="shared" si="30"/>
        <v>15468.9</v>
      </c>
      <c r="BT48" s="212">
        <f t="shared" si="30"/>
        <v>16791.1</v>
      </c>
      <c r="BU48" s="212">
        <f t="shared" si="30"/>
        <v>16226.9</v>
      </c>
      <c r="BV48" s="212">
        <f t="shared" si="30"/>
        <v>16100.900000000001</v>
      </c>
      <c r="BW48" s="212">
        <f t="shared" si="30"/>
        <v>15960.900000000001</v>
      </c>
      <c r="BX48" s="212">
        <f t="shared" si="30"/>
        <v>16110.599999999999</v>
      </c>
      <c r="BY48" s="212">
        <f t="shared" si="30"/>
        <v>16082.7</v>
      </c>
      <c r="BZ48" s="212">
        <f t="shared" si="30"/>
        <v>16050.699999999999</v>
      </c>
      <c r="CA48" s="212">
        <f t="shared" si="30"/>
        <v>15973.599999999999</v>
      </c>
      <c r="CB48" s="212">
        <f t="shared" si="30"/>
        <v>15901.300000000001</v>
      </c>
      <c r="CC48" s="212">
        <f t="shared" si="30"/>
        <v>15856.1</v>
      </c>
      <c r="CD48" s="212">
        <f t="shared" si="30"/>
        <v>15901.300000000001</v>
      </c>
      <c r="CE48" s="212">
        <f t="shared" si="30"/>
        <v>15944.4</v>
      </c>
      <c r="CF48" s="212">
        <f t="shared" si="30"/>
        <v>16040.9</v>
      </c>
      <c r="CG48" s="212">
        <f t="shared" si="30"/>
        <v>15548.5</v>
      </c>
      <c r="CH48" s="212">
        <f t="shared" si="30"/>
        <v>15558.800000000001</v>
      </c>
      <c r="CI48" s="212">
        <f t="shared" si="30"/>
        <v>15790.3</v>
      </c>
      <c r="CJ48" s="212">
        <f t="shared" si="30"/>
        <v>15648.9</v>
      </c>
      <c r="CK48" s="212">
        <f t="shared" si="30"/>
        <v>15462</v>
      </c>
      <c r="CL48" s="212">
        <f t="shared" si="30"/>
        <v>15552.5</v>
      </c>
      <c r="CM48" s="212">
        <f t="shared" si="30"/>
        <v>15625.199999999999</v>
      </c>
      <c r="CN48" s="212">
        <f t="shared" si="30"/>
        <v>15611.599999999999</v>
      </c>
      <c r="CO48" s="212">
        <f t="shared" si="30"/>
        <v>15528.9</v>
      </c>
      <c r="CP48" s="212">
        <f t="shared" si="30"/>
        <v>15671.7</v>
      </c>
      <c r="CQ48" s="212">
        <f t="shared" si="30"/>
        <v>15672.900000000001</v>
      </c>
      <c r="CR48" s="212">
        <f t="shared" si="30"/>
        <v>15238.800000000001</v>
      </c>
      <c r="CT48" s="272"/>
    </row>
    <row r="49" spans="1:96" ht="16.5" customHeight="1" hidden="1">
      <c r="A49" s="194" t="s">
        <v>44</v>
      </c>
      <c r="B49" s="53"/>
      <c r="C49" s="54"/>
      <c r="D49" s="55"/>
      <c r="E49" s="56"/>
      <c r="F49" s="57"/>
      <c r="G49" s="119"/>
      <c r="H49" s="119"/>
      <c r="I49" s="119"/>
      <c r="J49" s="58"/>
      <c r="K49" s="58"/>
      <c r="L49" s="120"/>
      <c r="M49" s="121"/>
      <c r="N49" s="60"/>
      <c r="O49" s="59"/>
      <c r="P49" s="120"/>
      <c r="Q49" s="61"/>
      <c r="R49" s="62"/>
      <c r="S49" s="122"/>
      <c r="T49" s="59"/>
      <c r="U49" s="59"/>
      <c r="V49" s="61"/>
      <c r="W49" s="70"/>
      <c r="X49" s="60"/>
      <c r="Y49" s="59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0"/>
      <c r="AK49" s="59"/>
      <c r="AL49" s="59"/>
      <c r="AM49" s="59"/>
      <c r="AN49" s="59"/>
      <c r="AO49" s="60"/>
      <c r="AP49" s="64"/>
      <c r="AQ49" s="65"/>
      <c r="AR49" s="59"/>
      <c r="AS49" s="60"/>
      <c r="AT49" s="64"/>
      <c r="AU49" s="65"/>
      <c r="AV49" s="60"/>
      <c r="AW49" s="60"/>
      <c r="AX49" s="60"/>
      <c r="AY49" s="60"/>
      <c r="AZ49" s="6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155"/>
      <c r="BW49" s="155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155"/>
      <c r="CR49" s="155"/>
    </row>
    <row r="50" spans="1:96" ht="16.5" customHeight="1" hidden="1">
      <c r="A50" s="186" t="s">
        <v>45</v>
      </c>
      <c r="B50" s="71">
        <f aca="true" t="shared" si="31" ref="B50:AT50">B52+B51</f>
        <v>3.3</v>
      </c>
      <c r="C50" s="72">
        <f t="shared" si="31"/>
        <v>41.4</v>
      </c>
      <c r="D50" s="74">
        <f t="shared" si="31"/>
        <v>73.6</v>
      </c>
      <c r="E50" s="72">
        <f t="shared" si="31"/>
        <v>226.6</v>
      </c>
      <c r="F50" s="72">
        <f t="shared" si="31"/>
        <v>672.4000000000001</v>
      </c>
      <c r="G50" s="72">
        <f t="shared" si="31"/>
        <v>2629.1</v>
      </c>
      <c r="H50" s="72">
        <f t="shared" si="31"/>
        <v>3472.3</v>
      </c>
      <c r="I50" s="72">
        <f t="shared" si="31"/>
        <v>6174.700000000001</v>
      </c>
      <c r="J50" s="72">
        <f t="shared" si="31"/>
        <v>9238.699999999999</v>
      </c>
      <c r="K50" s="72">
        <f t="shared" si="31"/>
        <v>10835.2</v>
      </c>
      <c r="L50" s="73">
        <f t="shared" si="31"/>
        <v>11948.925216</v>
      </c>
      <c r="M50" s="72">
        <f t="shared" si="31"/>
        <v>11658.64851</v>
      </c>
      <c r="N50" s="72">
        <f t="shared" si="31"/>
        <v>11612.776000000002</v>
      </c>
      <c r="O50" s="73">
        <f t="shared" si="31"/>
        <v>11504.005491</v>
      </c>
      <c r="P50" s="72">
        <f t="shared" si="31"/>
        <v>11466.9496</v>
      </c>
      <c r="Q50" s="72">
        <f t="shared" si="31"/>
        <v>11541.84824</v>
      </c>
      <c r="R50" s="73">
        <f t="shared" si="31"/>
        <v>11637.711319999999</v>
      </c>
      <c r="S50" s="73">
        <f t="shared" si="31"/>
        <v>11677.714100000001</v>
      </c>
      <c r="T50" s="73">
        <f t="shared" si="31"/>
        <v>11597.09276</v>
      </c>
      <c r="U50" s="73">
        <f t="shared" si="31"/>
        <v>11708.48778</v>
      </c>
      <c r="V50" s="72">
        <f t="shared" si="31"/>
        <v>11922.022079999999</v>
      </c>
      <c r="W50" s="73">
        <f t="shared" si="31"/>
        <v>11923.50922</v>
      </c>
      <c r="X50" s="72">
        <f t="shared" si="31"/>
        <v>12879.4</v>
      </c>
      <c r="Y50" s="72">
        <f t="shared" si="31"/>
        <v>12622</v>
      </c>
      <c r="Z50" s="72">
        <f t="shared" si="31"/>
        <v>12595.9</v>
      </c>
      <c r="AA50" s="72">
        <f t="shared" si="31"/>
        <v>12548</v>
      </c>
      <c r="AB50" s="72">
        <f t="shared" si="31"/>
        <v>12695.6</v>
      </c>
      <c r="AC50" s="72">
        <f t="shared" si="31"/>
        <v>13013.7</v>
      </c>
      <c r="AD50" s="72">
        <f t="shared" si="31"/>
        <v>13070.9</v>
      </c>
      <c r="AE50" s="72">
        <f t="shared" si="31"/>
        <v>13244.800000000001</v>
      </c>
      <c r="AF50" s="72">
        <f t="shared" si="31"/>
        <v>13199.4</v>
      </c>
      <c r="AG50" s="72">
        <f t="shared" si="31"/>
        <v>13493</v>
      </c>
      <c r="AH50" s="72">
        <f t="shared" si="31"/>
        <v>13557.600040000001</v>
      </c>
      <c r="AI50" s="72">
        <f t="shared" si="31"/>
        <v>13574</v>
      </c>
      <c r="AJ50" s="72">
        <f t="shared" si="31"/>
        <v>14000.699999999999</v>
      </c>
      <c r="AK50" s="73">
        <f t="shared" si="31"/>
        <v>13816.3</v>
      </c>
      <c r="AL50" s="73">
        <f t="shared" si="31"/>
        <v>13794.1</v>
      </c>
      <c r="AM50" s="73">
        <f t="shared" si="31"/>
        <v>14185.900000000001</v>
      </c>
      <c r="AN50" s="73">
        <f t="shared" si="31"/>
        <v>14201.8</v>
      </c>
      <c r="AO50" s="72">
        <f t="shared" si="31"/>
        <v>14612.9</v>
      </c>
      <c r="AP50" s="74">
        <f t="shared" si="31"/>
        <v>14608.400000000001</v>
      </c>
      <c r="AQ50" s="75">
        <f t="shared" si="31"/>
        <v>14723.8</v>
      </c>
      <c r="AR50" s="73">
        <f t="shared" si="31"/>
        <v>14762.1</v>
      </c>
      <c r="AS50" s="72">
        <f t="shared" si="31"/>
        <v>14750.4</v>
      </c>
      <c r="AT50" s="74">
        <f t="shared" si="31"/>
        <v>14754.3</v>
      </c>
      <c r="AU50" s="75">
        <v>14791.1</v>
      </c>
      <c r="AV50" s="72">
        <f aca="true" t="shared" si="32" ref="AV50:CM50">AV52+AV51</f>
        <v>14971.1</v>
      </c>
      <c r="AW50" s="72">
        <f t="shared" si="32"/>
        <v>14832.800000000001</v>
      </c>
      <c r="AX50" s="72">
        <f t="shared" si="32"/>
        <v>14920.9</v>
      </c>
      <c r="AY50" s="72">
        <f t="shared" si="32"/>
        <v>14848.9</v>
      </c>
      <c r="AZ50" s="72">
        <f t="shared" si="32"/>
        <v>14852.099999999999</v>
      </c>
      <c r="BA50" s="76">
        <f t="shared" si="32"/>
        <v>14718.300000000001</v>
      </c>
      <c r="BB50" s="76">
        <f t="shared" si="32"/>
        <v>14691.2</v>
      </c>
      <c r="BC50" s="76">
        <f t="shared" si="32"/>
        <v>14691.8</v>
      </c>
      <c r="BD50" s="76">
        <f t="shared" si="32"/>
        <v>14693.9</v>
      </c>
      <c r="BE50" s="76">
        <f t="shared" si="32"/>
        <v>14709</v>
      </c>
      <c r="BF50" s="76">
        <f t="shared" si="32"/>
        <v>14655.2</v>
      </c>
      <c r="BG50" s="76">
        <f t="shared" si="32"/>
        <v>14644.4</v>
      </c>
      <c r="BH50" s="76">
        <f t="shared" si="32"/>
        <v>14891.699999999999</v>
      </c>
      <c r="BI50" s="76">
        <f t="shared" si="32"/>
        <v>14677.7</v>
      </c>
      <c r="BJ50" s="76">
        <f t="shared" si="32"/>
        <v>14865.4</v>
      </c>
      <c r="BK50" s="76">
        <f t="shared" si="32"/>
        <v>14758.34</v>
      </c>
      <c r="BL50" s="76">
        <f t="shared" si="32"/>
        <v>14771.800000000001</v>
      </c>
      <c r="BM50" s="76">
        <f t="shared" si="32"/>
        <v>16990.7</v>
      </c>
      <c r="BN50" s="76">
        <f t="shared" si="32"/>
        <v>14781.7</v>
      </c>
      <c r="BO50" s="76">
        <f t="shared" si="32"/>
        <v>14722.5</v>
      </c>
      <c r="BP50" s="76">
        <f t="shared" si="32"/>
        <v>15195.900000000001</v>
      </c>
      <c r="BQ50" s="76">
        <f t="shared" si="32"/>
        <v>15205.6</v>
      </c>
      <c r="BR50" s="76">
        <f t="shared" si="32"/>
        <v>15290.2</v>
      </c>
      <c r="BS50" s="76">
        <f t="shared" si="32"/>
        <v>15468.9</v>
      </c>
      <c r="BT50" s="76">
        <f t="shared" si="32"/>
        <v>16791.1</v>
      </c>
      <c r="BU50" s="76">
        <f t="shared" si="32"/>
        <v>16226.9</v>
      </c>
      <c r="BV50" s="76">
        <f t="shared" si="32"/>
        <v>16100.900000000001</v>
      </c>
      <c r="BW50" s="76">
        <f t="shared" si="32"/>
        <v>15960.900000000001</v>
      </c>
      <c r="BX50" s="76">
        <f t="shared" si="32"/>
        <v>16110.599999999999</v>
      </c>
      <c r="BY50" s="76">
        <f t="shared" si="32"/>
        <v>16082.7</v>
      </c>
      <c r="BZ50" s="76">
        <f t="shared" si="32"/>
        <v>16050.699999999999</v>
      </c>
      <c r="CA50" s="76">
        <f t="shared" si="32"/>
        <v>15973.599999999999</v>
      </c>
      <c r="CB50" s="76">
        <f t="shared" si="32"/>
        <v>15901.300000000001</v>
      </c>
      <c r="CC50" s="76">
        <f t="shared" si="32"/>
        <v>15856.1</v>
      </c>
      <c r="CD50" s="76">
        <f t="shared" si="32"/>
        <v>15901.300000000001</v>
      </c>
      <c r="CE50" s="76">
        <f t="shared" si="32"/>
        <v>15944.4</v>
      </c>
      <c r="CF50" s="76">
        <f t="shared" si="32"/>
        <v>16040.9</v>
      </c>
      <c r="CG50" s="76">
        <f t="shared" si="32"/>
        <v>15548.5</v>
      </c>
      <c r="CH50" s="76">
        <f t="shared" si="32"/>
        <v>15558.800000000001</v>
      </c>
      <c r="CI50" s="76">
        <f t="shared" si="32"/>
        <v>15790.3</v>
      </c>
      <c r="CJ50" s="76">
        <f t="shared" si="32"/>
        <v>15648.9</v>
      </c>
      <c r="CK50" s="76">
        <f t="shared" si="32"/>
        <v>15462</v>
      </c>
      <c r="CL50" s="76">
        <f t="shared" si="32"/>
        <v>15552.5</v>
      </c>
      <c r="CM50" s="76">
        <f t="shared" si="32"/>
        <v>15625.199999999999</v>
      </c>
      <c r="CN50" s="76">
        <f>CN52+CN51</f>
        <v>15611.599999999999</v>
      </c>
      <c r="CO50" s="76">
        <f>CO52+CO51</f>
        <v>15528.9</v>
      </c>
      <c r="CP50" s="76">
        <f>CP52+CP51</f>
        <v>15671.7</v>
      </c>
      <c r="CQ50" s="76">
        <f>CQ52+CQ51</f>
        <v>15672.900000000001</v>
      </c>
      <c r="CR50" s="76">
        <f>CR52+CR51</f>
        <v>15238.800000000001</v>
      </c>
    </row>
    <row r="51" spans="1:96" ht="16.5" customHeight="1" hidden="1">
      <c r="A51" s="187" t="s">
        <v>5</v>
      </c>
      <c r="B51" s="53">
        <v>3.3</v>
      </c>
      <c r="C51" s="54">
        <v>41.4</v>
      </c>
      <c r="D51" s="56">
        <v>63.5</v>
      </c>
      <c r="E51" s="58">
        <v>196.7</v>
      </c>
      <c r="F51" s="58">
        <v>341</v>
      </c>
      <c r="G51" s="58">
        <f>616+1842.2</f>
        <v>2458.2</v>
      </c>
      <c r="H51" s="58">
        <f>1434.6+1754.4</f>
        <v>3189</v>
      </c>
      <c r="I51" s="58">
        <v>5606.1</v>
      </c>
      <c r="J51" s="58">
        <v>8530.8</v>
      </c>
      <c r="K51" s="58">
        <v>10090.2</v>
      </c>
      <c r="L51" s="59">
        <v>11065.780576</v>
      </c>
      <c r="M51" s="60">
        <v>10861.25494</v>
      </c>
      <c r="N51" s="60">
        <v>10873.79</v>
      </c>
      <c r="O51" s="59">
        <v>10765.000123</v>
      </c>
      <c r="P51" s="59">
        <v>10750.38128</v>
      </c>
      <c r="Q51" s="61">
        <v>10849.00784</v>
      </c>
      <c r="R51" s="62">
        <v>10948.36574</v>
      </c>
      <c r="S51" s="63">
        <v>10993.78296</v>
      </c>
      <c r="T51" s="59">
        <v>10992.24028</v>
      </c>
      <c r="U51" s="59">
        <v>11098.54933</v>
      </c>
      <c r="V51" s="61">
        <v>11331.55129</v>
      </c>
      <c r="W51" s="64">
        <v>11322.02852</v>
      </c>
      <c r="X51" s="57">
        <v>12199.6</v>
      </c>
      <c r="Y51" s="59">
        <v>12012.4</v>
      </c>
      <c r="Z51" s="65">
        <v>12033.4</v>
      </c>
      <c r="AA51" s="65">
        <v>11995.7</v>
      </c>
      <c r="AB51" s="65">
        <v>12143.7</v>
      </c>
      <c r="AC51" s="65">
        <v>12465.1</v>
      </c>
      <c r="AD51" s="65">
        <v>12547.6</v>
      </c>
      <c r="AE51" s="65">
        <v>12720.7</v>
      </c>
      <c r="AF51" s="65">
        <v>12678.1</v>
      </c>
      <c r="AG51" s="65">
        <v>12869.5</v>
      </c>
      <c r="AH51" s="65">
        <v>12952.76684</v>
      </c>
      <c r="AI51" s="65">
        <v>12971.4</v>
      </c>
      <c r="AJ51" s="60">
        <v>13302.8</v>
      </c>
      <c r="AK51" s="59">
        <v>13171</v>
      </c>
      <c r="AL51" s="59">
        <v>13154.2</v>
      </c>
      <c r="AM51" s="59">
        <v>13532.2</v>
      </c>
      <c r="AN51" s="59">
        <v>13569.5</v>
      </c>
      <c r="AO51" s="60">
        <v>13979.3</v>
      </c>
      <c r="AP51" s="64">
        <v>13964.7</v>
      </c>
      <c r="AQ51" s="65">
        <v>14143</v>
      </c>
      <c r="AR51" s="59">
        <v>14205.35</v>
      </c>
      <c r="AS51" s="60">
        <v>14199.5</v>
      </c>
      <c r="AT51" s="64">
        <v>14205</v>
      </c>
      <c r="AU51" s="65">
        <v>14257.1</v>
      </c>
      <c r="AV51" s="60">
        <v>14376.2</v>
      </c>
      <c r="AW51" s="60">
        <v>14308.2</v>
      </c>
      <c r="AX51" s="60">
        <v>14346</v>
      </c>
      <c r="AY51" s="60">
        <v>14279.6</v>
      </c>
      <c r="AZ51" s="60">
        <v>14276.8</v>
      </c>
      <c r="BA51" s="70">
        <v>14155.6</v>
      </c>
      <c r="BB51" s="70">
        <v>14134</v>
      </c>
      <c r="BC51" s="70">
        <v>14133.8</v>
      </c>
      <c r="BD51" s="70">
        <v>14124.8</v>
      </c>
      <c r="BE51" s="70">
        <v>14140.8</v>
      </c>
      <c r="BF51" s="70">
        <v>14115.1</v>
      </c>
      <c r="BG51" s="70">
        <v>14119.4</v>
      </c>
      <c r="BH51" s="70">
        <v>14360.3</v>
      </c>
      <c r="BI51" s="70">
        <v>14141.5</v>
      </c>
      <c r="BJ51" s="70">
        <v>14346.8</v>
      </c>
      <c r="BK51" s="70">
        <v>14237.84</v>
      </c>
      <c r="BL51" s="70">
        <v>14258.7</v>
      </c>
      <c r="BM51" s="70">
        <v>16467.9</v>
      </c>
      <c r="BN51" s="70">
        <v>14257</v>
      </c>
      <c r="BO51" s="70">
        <v>14200.9</v>
      </c>
      <c r="BP51" s="70">
        <v>14674.7</v>
      </c>
      <c r="BQ51" s="70">
        <v>14682</v>
      </c>
      <c r="BR51" s="70">
        <v>14707.6</v>
      </c>
      <c r="BS51" s="70">
        <v>14889.8</v>
      </c>
      <c r="BT51" s="70">
        <v>16185.1</v>
      </c>
      <c r="BU51" s="70">
        <v>15659</v>
      </c>
      <c r="BV51" s="70">
        <v>15539.7</v>
      </c>
      <c r="BW51" s="70">
        <v>15382.2</v>
      </c>
      <c r="BX51" s="70">
        <v>15513.3</v>
      </c>
      <c r="BY51" s="70">
        <v>15488.2</v>
      </c>
      <c r="BZ51" s="70">
        <v>15413.3</v>
      </c>
      <c r="CA51" s="70">
        <v>15350.8</v>
      </c>
      <c r="CB51" s="70">
        <v>15259.1</v>
      </c>
      <c r="CC51" s="70">
        <v>15216.5</v>
      </c>
      <c r="CD51" s="70">
        <v>15257.7</v>
      </c>
      <c r="CE51" s="70">
        <v>15308.9</v>
      </c>
      <c r="CF51" s="70">
        <v>15446.1</v>
      </c>
      <c r="CG51" s="70">
        <v>14934.1</v>
      </c>
      <c r="CH51" s="70">
        <v>14948.6</v>
      </c>
      <c r="CI51" s="70">
        <v>15190.3</v>
      </c>
      <c r="CJ51" s="70">
        <v>15048.5</v>
      </c>
      <c r="CK51" s="70">
        <v>14879.2</v>
      </c>
      <c r="CL51" s="70">
        <v>14975</v>
      </c>
      <c r="CM51" s="70">
        <v>15049.8</v>
      </c>
      <c r="CN51" s="70">
        <v>15036.8</v>
      </c>
      <c r="CO51" s="70">
        <v>14958.4</v>
      </c>
      <c r="CP51" s="70">
        <v>15092.5</v>
      </c>
      <c r="CQ51" s="70">
        <v>15093.7</v>
      </c>
      <c r="CR51" s="70">
        <v>14637.1</v>
      </c>
    </row>
    <row r="52" spans="1:96" ht="16.5" customHeight="1" hidden="1">
      <c r="A52" s="187" t="s">
        <v>6</v>
      </c>
      <c r="B52" s="53">
        <v>0</v>
      </c>
      <c r="C52" s="54">
        <v>0</v>
      </c>
      <c r="D52" s="56">
        <v>10.1</v>
      </c>
      <c r="E52" s="58">
        <v>29.9</v>
      </c>
      <c r="F52" s="58">
        <f>267.6+63.8</f>
        <v>331.40000000000003</v>
      </c>
      <c r="G52" s="58">
        <f>55.7+115.2</f>
        <v>170.9</v>
      </c>
      <c r="H52" s="58">
        <f>108.1+175.2</f>
        <v>283.29999999999995</v>
      </c>
      <c r="I52" s="58">
        <v>568.6</v>
      </c>
      <c r="J52" s="58">
        <v>707.9</v>
      </c>
      <c r="K52" s="58">
        <v>745</v>
      </c>
      <c r="L52" s="59">
        <v>883.14464</v>
      </c>
      <c r="M52" s="60">
        <v>797.39357</v>
      </c>
      <c r="N52" s="60">
        <v>738.986</v>
      </c>
      <c r="O52" s="59">
        <v>739.005368</v>
      </c>
      <c r="P52" s="59">
        <v>716.56832</v>
      </c>
      <c r="Q52" s="61">
        <v>692.8404</v>
      </c>
      <c r="R52" s="62">
        <v>689.34558</v>
      </c>
      <c r="S52" s="63">
        <v>683.93114</v>
      </c>
      <c r="T52" s="59">
        <v>604.85248</v>
      </c>
      <c r="U52" s="59">
        <v>609.93845</v>
      </c>
      <c r="V52" s="61">
        <v>590.47079</v>
      </c>
      <c r="W52" s="64">
        <v>601.4807</v>
      </c>
      <c r="X52" s="57">
        <v>679.8</v>
      </c>
      <c r="Y52" s="59">
        <v>609.6</v>
      </c>
      <c r="Z52" s="65">
        <v>562.5</v>
      </c>
      <c r="AA52" s="65">
        <v>552.3</v>
      </c>
      <c r="AB52" s="65">
        <v>551.9</v>
      </c>
      <c r="AC52" s="65">
        <v>548.6</v>
      </c>
      <c r="AD52" s="65">
        <v>523.3</v>
      </c>
      <c r="AE52" s="65">
        <v>524.1</v>
      </c>
      <c r="AF52" s="65">
        <v>521.3</v>
      </c>
      <c r="AG52" s="65">
        <v>623.5</v>
      </c>
      <c r="AH52" s="65">
        <v>604.8332</v>
      </c>
      <c r="AI52" s="65">
        <v>602.6</v>
      </c>
      <c r="AJ52" s="60">
        <v>697.9</v>
      </c>
      <c r="AK52" s="59">
        <v>645.3</v>
      </c>
      <c r="AL52" s="59">
        <v>639.9</v>
      </c>
      <c r="AM52" s="59">
        <v>653.7</v>
      </c>
      <c r="AN52" s="59">
        <v>632.3</v>
      </c>
      <c r="AO52" s="60">
        <v>633.6</v>
      </c>
      <c r="AP52" s="64">
        <v>643.7</v>
      </c>
      <c r="AQ52" s="65">
        <v>580.8</v>
      </c>
      <c r="AR52" s="59">
        <v>556.75</v>
      </c>
      <c r="AS52" s="60">
        <v>550.9</v>
      </c>
      <c r="AT52" s="64">
        <v>549.3</v>
      </c>
      <c r="AU52" s="65">
        <v>534</v>
      </c>
      <c r="AV52" s="60">
        <v>594.9</v>
      </c>
      <c r="AW52" s="60">
        <v>524.6</v>
      </c>
      <c r="AX52" s="60">
        <v>574.9</v>
      </c>
      <c r="AY52" s="60">
        <v>569.3</v>
      </c>
      <c r="AZ52" s="60">
        <v>575.3</v>
      </c>
      <c r="BA52" s="70">
        <v>562.7</v>
      </c>
      <c r="BB52" s="70">
        <v>557.2</v>
      </c>
      <c r="BC52" s="70">
        <v>558</v>
      </c>
      <c r="BD52" s="70">
        <v>569.1</v>
      </c>
      <c r="BE52" s="70">
        <v>568.2</v>
      </c>
      <c r="BF52" s="70">
        <v>540.1</v>
      </c>
      <c r="BG52" s="70">
        <v>525</v>
      </c>
      <c r="BH52" s="70">
        <v>531.4</v>
      </c>
      <c r="BI52" s="70">
        <v>536.2</v>
      </c>
      <c r="BJ52" s="70">
        <v>518.6</v>
      </c>
      <c r="BK52" s="70">
        <v>520.5</v>
      </c>
      <c r="BL52" s="70">
        <v>513.1</v>
      </c>
      <c r="BM52" s="70">
        <v>522.8</v>
      </c>
      <c r="BN52" s="70">
        <v>524.7</v>
      </c>
      <c r="BO52" s="70">
        <v>521.6</v>
      </c>
      <c r="BP52" s="70">
        <v>521.2</v>
      </c>
      <c r="BQ52" s="70">
        <v>523.6</v>
      </c>
      <c r="BR52" s="70">
        <v>582.6</v>
      </c>
      <c r="BS52" s="70">
        <v>579.1</v>
      </c>
      <c r="BT52" s="70">
        <v>606</v>
      </c>
      <c r="BU52" s="70">
        <v>567.9</v>
      </c>
      <c r="BV52" s="70">
        <v>561.2</v>
      </c>
      <c r="BW52" s="70">
        <v>578.7</v>
      </c>
      <c r="BX52" s="70">
        <v>597.3</v>
      </c>
      <c r="BY52" s="70">
        <v>594.5</v>
      </c>
      <c r="BZ52" s="70">
        <v>637.4</v>
      </c>
      <c r="CA52" s="70">
        <v>622.8</v>
      </c>
      <c r="CB52" s="70">
        <v>642.2</v>
      </c>
      <c r="CC52" s="70">
        <v>639.6</v>
      </c>
      <c r="CD52" s="70">
        <v>643.6</v>
      </c>
      <c r="CE52" s="70">
        <v>635.5</v>
      </c>
      <c r="CF52" s="70">
        <v>594.8</v>
      </c>
      <c r="CG52" s="70">
        <v>614.4</v>
      </c>
      <c r="CH52" s="70">
        <v>610.2</v>
      </c>
      <c r="CI52" s="70">
        <v>600</v>
      </c>
      <c r="CJ52" s="70">
        <v>600.4</v>
      </c>
      <c r="CK52" s="70">
        <v>582.8</v>
      </c>
      <c r="CL52" s="70">
        <v>577.5</v>
      </c>
      <c r="CM52" s="70">
        <v>575.4</v>
      </c>
      <c r="CN52" s="70">
        <v>574.8</v>
      </c>
      <c r="CO52" s="70">
        <v>570.5</v>
      </c>
      <c r="CP52" s="70">
        <v>579.2</v>
      </c>
      <c r="CQ52" s="70">
        <v>579.2</v>
      </c>
      <c r="CR52" s="70">
        <v>601.7</v>
      </c>
    </row>
    <row r="53" spans="1:96" ht="16.5" customHeight="1" hidden="1">
      <c r="A53" s="188" t="s">
        <v>46</v>
      </c>
      <c r="B53" s="71">
        <f aca="true" t="shared" si="33" ref="B53:AT53">B54+B55+B56</f>
        <v>3.3</v>
      </c>
      <c r="C53" s="72">
        <f t="shared" si="33"/>
        <v>41.4</v>
      </c>
      <c r="D53" s="74">
        <f t="shared" si="33"/>
        <v>73.6474614</v>
      </c>
      <c r="E53" s="72">
        <f t="shared" si="33"/>
        <v>226.633176</v>
      </c>
      <c r="F53" s="72">
        <f t="shared" si="33"/>
        <v>672.35</v>
      </c>
      <c r="G53" s="72">
        <f t="shared" si="33"/>
        <v>2629.1000000000004</v>
      </c>
      <c r="H53" s="72">
        <f t="shared" si="33"/>
        <v>3472.2627758</v>
      </c>
      <c r="I53" s="72">
        <f t="shared" si="33"/>
        <v>6174.7</v>
      </c>
      <c r="J53" s="72">
        <f t="shared" si="33"/>
        <v>9238.6</v>
      </c>
      <c r="K53" s="72">
        <f t="shared" si="33"/>
        <v>10835.2</v>
      </c>
      <c r="L53" s="73">
        <f t="shared" si="33"/>
        <v>11948.908064000001</v>
      </c>
      <c r="M53" s="72">
        <f t="shared" si="33"/>
        <v>11658.64851</v>
      </c>
      <c r="N53" s="72">
        <f t="shared" si="33"/>
        <v>11612.776</v>
      </c>
      <c r="O53" s="73">
        <f t="shared" si="33"/>
        <v>11504.005491</v>
      </c>
      <c r="P53" s="72">
        <f t="shared" si="33"/>
        <v>11466.9496</v>
      </c>
      <c r="Q53" s="72">
        <f t="shared" si="33"/>
        <v>11541.84824</v>
      </c>
      <c r="R53" s="73">
        <f t="shared" si="33"/>
        <v>11637.71132</v>
      </c>
      <c r="S53" s="73">
        <f t="shared" si="33"/>
        <v>11677.714100000001</v>
      </c>
      <c r="T53" s="73">
        <f t="shared" si="33"/>
        <v>11597.09276</v>
      </c>
      <c r="U53" s="73">
        <f t="shared" si="33"/>
        <v>11708.5</v>
      </c>
      <c r="V53" s="72">
        <f t="shared" si="33"/>
        <v>11922.02208</v>
      </c>
      <c r="W53" s="73">
        <f t="shared" si="33"/>
        <v>11923.50922</v>
      </c>
      <c r="X53" s="72">
        <f t="shared" si="33"/>
        <v>12879.359999999999</v>
      </c>
      <c r="Y53" s="72">
        <f t="shared" si="33"/>
        <v>12622</v>
      </c>
      <c r="Z53" s="72">
        <f t="shared" si="33"/>
        <v>12595.9</v>
      </c>
      <c r="AA53" s="72">
        <f t="shared" si="33"/>
        <v>12548</v>
      </c>
      <c r="AB53" s="72">
        <f t="shared" si="33"/>
        <v>12695.599999999999</v>
      </c>
      <c r="AC53" s="72">
        <f t="shared" si="33"/>
        <v>13013.7</v>
      </c>
      <c r="AD53" s="72">
        <f t="shared" si="33"/>
        <v>13070.9</v>
      </c>
      <c r="AE53" s="72">
        <f t="shared" si="33"/>
        <v>13244.9</v>
      </c>
      <c r="AF53" s="72">
        <f t="shared" si="33"/>
        <v>13199.4</v>
      </c>
      <c r="AG53" s="72">
        <f t="shared" si="33"/>
        <v>13493</v>
      </c>
      <c r="AH53" s="72">
        <f t="shared" si="33"/>
        <v>13557.60004</v>
      </c>
      <c r="AI53" s="72">
        <f t="shared" si="33"/>
        <v>13573.9904185</v>
      </c>
      <c r="AJ53" s="72">
        <f t="shared" si="33"/>
        <v>14000.699999999999</v>
      </c>
      <c r="AK53" s="73">
        <f t="shared" si="33"/>
        <v>13816.300000000001</v>
      </c>
      <c r="AL53" s="73">
        <f t="shared" si="33"/>
        <v>13794.1</v>
      </c>
      <c r="AM53" s="73">
        <f t="shared" si="33"/>
        <v>14185.899999999998</v>
      </c>
      <c r="AN53" s="73">
        <f t="shared" si="33"/>
        <v>14201.8</v>
      </c>
      <c r="AO53" s="72">
        <f t="shared" si="33"/>
        <v>14612.9</v>
      </c>
      <c r="AP53" s="74">
        <f t="shared" si="33"/>
        <v>14608.36</v>
      </c>
      <c r="AQ53" s="75">
        <f t="shared" si="33"/>
        <v>14723.800000000001</v>
      </c>
      <c r="AR53" s="73">
        <f t="shared" si="33"/>
        <v>14762.1</v>
      </c>
      <c r="AS53" s="72">
        <f t="shared" si="33"/>
        <v>14750.4</v>
      </c>
      <c r="AT53" s="74">
        <f t="shared" si="33"/>
        <v>14754.3</v>
      </c>
      <c r="AU53" s="75">
        <v>14791.08748</v>
      </c>
      <c r="AV53" s="72">
        <f aca="true" t="shared" si="34" ref="AV53:CM53">AV54+AV55+AV56</f>
        <v>14917.054</v>
      </c>
      <c r="AW53" s="72">
        <f t="shared" si="34"/>
        <v>14832.93</v>
      </c>
      <c r="AX53" s="72">
        <f t="shared" si="34"/>
        <v>14920.9</v>
      </c>
      <c r="AY53" s="72">
        <f t="shared" si="34"/>
        <v>14848.900000000001</v>
      </c>
      <c r="AZ53" s="72">
        <f t="shared" si="34"/>
        <v>14852.1</v>
      </c>
      <c r="BA53" s="76">
        <f t="shared" si="34"/>
        <v>14718.300000000001</v>
      </c>
      <c r="BB53" s="76">
        <f t="shared" si="34"/>
        <v>14691.2</v>
      </c>
      <c r="BC53" s="76">
        <f t="shared" si="34"/>
        <v>14691.800000000001</v>
      </c>
      <c r="BD53" s="76">
        <f t="shared" si="34"/>
        <v>14693.899999999998</v>
      </c>
      <c r="BE53" s="76">
        <f t="shared" si="34"/>
        <v>14709</v>
      </c>
      <c r="BF53" s="76">
        <f t="shared" si="34"/>
        <v>14655.199999999999</v>
      </c>
      <c r="BG53" s="76">
        <f t="shared" si="34"/>
        <v>14644.4</v>
      </c>
      <c r="BH53" s="76">
        <f t="shared" si="34"/>
        <v>14891.7</v>
      </c>
      <c r="BI53" s="76">
        <f t="shared" si="34"/>
        <v>14677.699999999999</v>
      </c>
      <c r="BJ53" s="76">
        <f t="shared" si="34"/>
        <v>14865.4</v>
      </c>
      <c r="BK53" s="76">
        <f t="shared" si="34"/>
        <v>14758.34</v>
      </c>
      <c r="BL53" s="76">
        <f t="shared" si="34"/>
        <v>14771.8</v>
      </c>
      <c r="BM53" s="76">
        <f t="shared" si="34"/>
        <v>16990.7</v>
      </c>
      <c r="BN53" s="76">
        <f t="shared" si="34"/>
        <v>14781.699999999999</v>
      </c>
      <c r="BO53" s="76">
        <f t="shared" si="34"/>
        <v>14722.5</v>
      </c>
      <c r="BP53" s="76">
        <f t="shared" si="34"/>
        <v>15195.9</v>
      </c>
      <c r="BQ53" s="76">
        <f t="shared" si="34"/>
        <v>15205.6</v>
      </c>
      <c r="BR53" s="76">
        <f t="shared" si="34"/>
        <v>15290.2</v>
      </c>
      <c r="BS53" s="76">
        <f t="shared" si="34"/>
        <v>15468.9</v>
      </c>
      <c r="BT53" s="76">
        <f t="shared" si="34"/>
        <v>16791.100000000002</v>
      </c>
      <c r="BU53" s="76">
        <f t="shared" si="34"/>
        <v>16226.900000000001</v>
      </c>
      <c r="BV53" s="76">
        <f t="shared" si="34"/>
        <v>16100.9</v>
      </c>
      <c r="BW53" s="76">
        <f t="shared" si="34"/>
        <v>15960.899999999998</v>
      </c>
      <c r="BX53" s="76">
        <f t="shared" si="34"/>
        <v>16110.600000000002</v>
      </c>
      <c r="BY53" s="76">
        <f t="shared" si="34"/>
        <v>16082.7</v>
      </c>
      <c r="BZ53" s="76">
        <f t="shared" si="34"/>
        <v>16050.65</v>
      </c>
      <c r="CA53" s="76">
        <f t="shared" si="34"/>
        <v>15973.599999999999</v>
      </c>
      <c r="CB53" s="76">
        <f t="shared" si="34"/>
        <v>15901.300000000001</v>
      </c>
      <c r="CC53" s="76">
        <f t="shared" si="34"/>
        <v>15856.1</v>
      </c>
      <c r="CD53" s="76">
        <f t="shared" si="34"/>
        <v>15901.3</v>
      </c>
      <c r="CE53" s="76">
        <f t="shared" si="34"/>
        <v>15901.3</v>
      </c>
      <c r="CF53" s="76">
        <f t="shared" si="34"/>
        <v>16040.9</v>
      </c>
      <c r="CG53" s="76">
        <f t="shared" si="34"/>
        <v>15548.5</v>
      </c>
      <c r="CH53" s="76">
        <f t="shared" si="34"/>
        <v>15558.8</v>
      </c>
      <c r="CI53" s="76">
        <f t="shared" si="34"/>
        <v>15790.3</v>
      </c>
      <c r="CJ53" s="76">
        <f t="shared" si="34"/>
        <v>15648.9</v>
      </c>
      <c r="CK53" s="76">
        <f t="shared" si="34"/>
        <v>15462</v>
      </c>
      <c r="CL53" s="76">
        <f t="shared" si="34"/>
        <v>15552.5</v>
      </c>
      <c r="CM53" s="76">
        <f t="shared" si="34"/>
        <v>15625.2</v>
      </c>
      <c r="CN53" s="76">
        <f>CN54+CN55+CN56</f>
        <v>15611.599999999999</v>
      </c>
      <c r="CO53" s="76">
        <f>CO54+CO55+CO56</f>
        <v>15528.9</v>
      </c>
      <c r="CP53" s="76">
        <f>CP54+CP55+CP56</f>
        <v>15671.7</v>
      </c>
      <c r="CQ53" s="76">
        <f>CQ54+CQ55+CQ56</f>
        <v>15672.900000000001</v>
      </c>
      <c r="CR53" s="76">
        <f>CR54+CR55+CR56</f>
        <v>15239.100000000002</v>
      </c>
    </row>
    <row r="54" spans="1:96" ht="16.5" customHeight="1" hidden="1">
      <c r="A54" s="190" t="s">
        <v>47</v>
      </c>
      <c r="B54" s="53">
        <v>3.3</v>
      </c>
      <c r="C54" s="54">
        <v>41.4</v>
      </c>
      <c r="D54" s="56">
        <v>63.5</v>
      </c>
      <c r="E54" s="58">
        <v>196.7</v>
      </c>
      <c r="F54" s="58">
        <f>341+267.6</f>
        <v>608.6</v>
      </c>
      <c r="G54" s="54">
        <v>671.7</v>
      </c>
      <c r="H54" s="58">
        <f>1316.87+62.56+4.014*H63+0.2</f>
        <v>1393.2041437999999</v>
      </c>
      <c r="I54" s="58">
        <v>3296.6</v>
      </c>
      <c r="J54" s="58">
        <v>5422.5</v>
      </c>
      <c r="K54" s="58">
        <v>6494.86</v>
      </c>
      <c r="L54" s="59">
        <v>7210.891584</v>
      </c>
      <c r="M54" s="60">
        <v>7063.47147</v>
      </c>
      <c r="N54" s="60">
        <v>7104.688189</v>
      </c>
      <c r="O54" s="59">
        <v>7089.8458715</v>
      </c>
      <c r="P54" s="59">
        <v>7108.81472</v>
      </c>
      <c r="Q54" s="61">
        <v>7140.98144</v>
      </c>
      <c r="R54" s="62">
        <v>7109.86343</v>
      </c>
      <c r="S54" s="63">
        <v>7068.33948</v>
      </c>
      <c r="T54" s="59">
        <v>7078.95332</v>
      </c>
      <c r="U54" s="59">
        <v>7053.9</v>
      </c>
      <c r="V54" s="61">
        <v>7269.85911</v>
      </c>
      <c r="W54" s="64">
        <v>7235.45596</v>
      </c>
      <c r="X54" s="60">
        <v>7715.58</v>
      </c>
      <c r="Y54" s="59">
        <v>7502.2</v>
      </c>
      <c r="Z54" s="65">
        <v>7522.7</v>
      </c>
      <c r="AA54" s="65">
        <v>7432.9</v>
      </c>
      <c r="AB54" s="65">
        <v>7522.6</v>
      </c>
      <c r="AC54" s="65">
        <v>7536.5</v>
      </c>
      <c r="AD54" s="65">
        <v>7536.1</v>
      </c>
      <c r="AE54" s="65">
        <v>7544.1</v>
      </c>
      <c r="AF54" s="65">
        <v>7605</v>
      </c>
      <c r="AG54" s="65">
        <v>7693.3</v>
      </c>
      <c r="AH54" s="65">
        <v>7692.3339797</v>
      </c>
      <c r="AI54" s="65">
        <v>7767.1</v>
      </c>
      <c r="AJ54" s="60">
        <v>8162</v>
      </c>
      <c r="AK54" s="59">
        <v>8137.84</v>
      </c>
      <c r="AL54" s="59">
        <v>8129.5</v>
      </c>
      <c r="AM54" s="59">
        <v>8439.3</v>
      </c>
      <c r="AN54" s="59">
        <v>8580.9</v>
      </c>
      <c r="AO54" s="60">
        <v>8943.5</v>
      </c>
      <c r="AP54" s="64">
        <v>8863.43</v>
      </c>
      <c r="AQ54" s="65">
        <v>8857.15</v>
      </c>
      <c r="AR54" s="59">
        <v>8839.3</v>
      </c>
      <c r="AS54" s="60">
        <v>8803.3</v>
      </c>
      <c r="AT54" s="64">
        <v>8807.3</v>
      </c>
      <c r="AU54" s="65">
        <v>8853.39916</v>
      </c>
      <c r="AV54" s="60">
        <v>8758.5</v>
      </c>
      <c r="AW54" s="60">
        <v>8843.1</v>
      </c>
      <c r="AX54" s="60">
        <v>8815.5</v>
      </c>
      <c r="AY54" s="60">
        <v>8807.7</v>
      </c>
      <c r="AZ54" s="60">
        <v>8767.9</v>
      </c>
      <c r="BA54" s="70">
        <v>8733.7</v>
      </c>
      <c r="BB54" s="70">
        <v>8705</v>
      </c>
      <c r="BC54" s="70">
        <v>8711.1</v>
      </c>
      <c r="BD54" s="70">
        <v>8729.4</v>
      </c>
      <c r="BE54" s="70">
        <v>8772.4</v>
      </c>
      <c r="BF54" s="70">
        <v>8744.5</v>
      </c>
      <c r="BG54" s="70">
        <v>8743.3</v>
      </c>
      <c r="BH54" s="70">
        <v>8725.8</v>
      </c>
      <c r="BI54" s="70">
        <v>8744</v>
      </c>
      <c r="BJ54" s="70">
        <v>8759.9</v>
      </c>
      <c r="BK54" s="70">
        <v>8703.2</v>
      </c>
      <c r="BL54" s="70">
        <v>8738.9</v>
      </c>
      <c r="BM54" s="70">
        <v>10937.1</v>
      </c>
      <c r="BN54" s="70">
        <v>10954</v>
      </c>
      <c r="BO54" s="70">
        <v>10954.8</v>
      </c>
      <c r="BP54" s="70">
        <v>11324.8</v>
      </c>
      <c r="BQ54" s="70">
        <v>11327</v>
      </c>
      <c r="BR54" s="70">
        <v>11354.2</v>
      </c>
      <c r="BS54" s="70">
        <v>11545</v>
      </c>
      <c r="BT54" s="166">
        <v>12882.7</v>
      </c>
      <c r="BU54" s="70">
        <v>12256.1</v>
      </c>
      <c r="BV54" s="70">
        <v>12215.4</v>
      </c>
      <c r="BW54" s="70">
        <v>12157.3</v>
      </c>
      <c r="BX54" s="70">
        <v>12337.2</v>
      </c>
      <c r="BY54" s="70">
        <v>12308.5</v>
      </c>
      <c r="BZ54" s="70">
        <v>12307</v>
      </c>
      <c r="CA54" s="70">
        <v>12295.8</v>
      </c>
      <c r="CB54" s="70">
        <v>12309.2</v>
      </c>
      <c r="CC54" s="70">
        <v>12293.7</v>
      </c>
      <c r="CD54" s="70">
        <v>12354.5</v>
      </c>
      <c r="CE54" s="70">
        <v>12354.5</v>
      </c>
      <c r="CF54" s="70">
        <v>12526.3</v>
      </c>
      <c r="CG54" s="70">
        <v>12104</v>
      </c>
      <c r="CH54" s="70">
        <v>12124.3</v>
      </c>
      <c r="CI54" s="70">
        <v>12395.5</v>
      </c>
      <c r="CJ54" s="70">
        <v>12366.6</v>
      </c>
      <c r="CK54" s="70">
        <v>12233.5</v>
      </c>
      <c r="CL54" s="70">
        <v>12273.8</v>
      </c>
      <c r="CM54" s="70">
        <v>12373.6</v>
      </c>
      <c r="CN54" s="70">
        <v>12335.8</v>
      </c>
      <c r="CO54" s="70">
        <v>12289.1</v>
      </c>
      <c r="CP54" s="70">
        <v>12394.8</v>
      </c>
      <c r="CQ54" s="70">
        <v>12394.1</v>
      </c>
      <c r="CR54" s="70">
        <v>12061.2</v>
      </c>
    </row>
    <row r="55" spans="1:96" ht="16.5" customHeight="1" hidden="1">
      <c r="A55" s="190" t="s">
        <v>23</v>
      </c>
      <c r="B55" s="53">
        <v>0</v>
      </c>
      <c r="C55" s="54">
        <v>0</v>
      </c>
      <c r="D55" s="56">
        <v>10.1474614</v>
      </c>
      <c r="E55" s="58">
        <v>29.933176</v>
      </c>
      <c r="F55" s="58">
        <v>63.75</v>
      </c>
      <c r="G55" s="58">
        <v>1957.4</v>
      </c>
      <c r="H55" s="58">
        <f>116.27+39.2+566.96*H63</f>
        <v>2072.758632</v>
      </c>
      <c r="I55" s="58">
        <v>2843.9</v>
      </c>
      <c r="J55" s="58">
        <v>3783.1</v>
      </c>
      <c r="K55" s="58">
        <v>4321.14</v>
      </c>
      <c r="L55" s="59">
        <v>4726.81648</v>
      </c>
      <c r="M55" s="60">
        <v>4584.30704</v>
      </c>
      <c r="N55" s="60">
        <v>4497.44715</v>
      </c>
      <c r="O55" s="59">
        <v>4404.308614</v>
      </c>
      <c r="P55" s="59">
        <v>4349.73488</v>
      </c>
      <c r="Q55" s="61">
        <v>4392.1068</v>
      </c>
      <c r="R55" s="62">
        <v>4518.87789</v>
      </c>
      <c r="S55" s="63">
        <v>4601.01462</v>
      </c>
      <c r="T55" s="59">
        <v>4510.95944</v>
      </c>
      <c r="U55" s="59">
        <v>4646.1</v>
      </c>
      <c r="V55" s="61">
        <v>4644.85297</v>
      </c>
      <c r="W55" s="64">
        <v>4680.29626</v>
      </c>
      <c r="X55" s="60">
        <v>5157.38</v>
      </c>
      <c r="Y55" s="59">
        <v>5113.1</v>
      </c>
      <c r="Z55" s="65">
        <v>5066.7</v>
      </c>
      <c r="AA55" s="65">
        <v>5109.8</v>
      </c>
      <c r="AB55" s="65">
        <v>5167.7</v>
      </c>
      <c r="AC55" s="65">
        <v>5471.5</v>
      </c>
      <c r="AD55" s="65">
        <v>5529.5</v>
      </c>
      <c r="AE55" s="65">
        <v>5695.2</v>
      </c>
      <c r="AF55" s="65">
        <v>5589.1</v>
      </c>
      <c r="AG55" s="65">
        <v>5794.8</v>
      </c>
      <c r="AH55" s="65">
        <v>5860.5756418</v>
      </c>
      <c r="AI55" s="65">
        <v>5802.2</v>
      </c>
      <c r="AJ55" s="60">
        <v>5836.9</v>
      </c>
      <c r="AK55" s="59">
        <v>5676.56</v>
      </c>
      <c r="AL55" s="59">
        <v>5662.7</v>
      </c>
      <c r="AM55" s="59">
        <v>5744.8</v>
      </c>
      <c r="AN55" s="59">
        <v>5619.2</v>
      </c>
      <c r="AO55" s="60">
        <v>5667.6</v>
      </c>
      <c r="AP55" s="64">
        <v>5743.13</v>
      </c>
      <c r="AQ55" s="65">
        <v>5866.05</v>
      </c>
      <c r="AR55" s="59">
        <v>5922.2</v>
      </c>
      <c r="AS55" s="60">
        <v>5946.6</v>
      </c>
      <c r="AT55" s="64">
        <v>5946.5</v>
      </c>
      <c r="AU55" s="65">
        <v>5937.25832</v>
      </c>
      <c r="AV55" s="60">
        <v>6158.5</v>
      </c>
      <c r="AW55" s="60">
        <v>5989.4</v>
      </c>
      <c r="AX55" s="60">
        <v>6042.8</v>
      </c>
      <c r="AY55" s="60">
        <v>5980.7</v>
      </c>
      <c r="AZ55" s="60">
        <v>6024.1</v>
      </c>
      <c r="BA55" s="70">
        <v>5935.9</v>
      </c>
      <c r="BB55" s="70">
        <v>5891</v>
      </c>
      <c r="BC55" s="70">
        <v>5934.6</v>
      </c>
      <c r="BD55" s="70">
        <v>5917.7</v>
      </c>
      <c r="BE55" s="70">
        <v>5889</v>
      </c>
      <c r="BF55" s="70">
        <v>5864.4</v>
      </c>
      <c r="BG55" s="70">
        <v>5855.5</v>
      </c>
      <c r="BH55" s="70">
        <v>6118.2</v>
      </c>
      <c r="BI55" s="70">
        <v>5882.9</v>
      </c>
      <c r="BJ55" s="70">
        <v>6054.4</v>
      </c>
      <c r="BK55" s="70">
        <v>6006.44</v>
      </c>
      <c r="BL55" s="70">
        <v>5989.2</v>
      </c>
      <c r="BM55" s="70">
        <v>6010.3</v>
      </c>
      <c r="BN55" s="70">
        <v>3786.3</v>
      </c>
      <c r="BO55" s="70">
        <v>3725</v>
      </c>
      <c r="BP55" s="70">
        <v>3833.5</v>
      </c>
      <c r="BQ55" s="70">
        <v>3841.2</v>
      </c>
      <c r="BR55" s="70">
        <v>3897.7</v>
      </c>
      <c r="BS55" s="70">
        <v>3884</v>
      </c>
      <c r="BT55" s="166">
        <v>3874</v>
      </c>
      <c r="BU55" s="70">
        <v>3936.3</v>
      </c>
      <c r="BV55" s="70">
        <v>3853</v>
      </c>
      <c r="BW55" s="70">
        <v>3775.3</v>
      </c>
      <c r="BX55" s="70">
        <v>3745.2</v>
      </c>
      <c r="BY55" s="70">
        <v>3748.2</v>
      </c>
      <c r="BZ55" s="70">
        <v>3717.6</v>
      </c>
      <c r="CA55" s="70">
        <v>3652</v>
      </c>
      <c r="CB55" s="70">
        <v>3566.5</v>
      </c>
      <c r="CC55" s="70">
        <v>3540</v>
      </c>
      <c r="CD55" s="70">
        <v>3525.3</v>
      </c>
      <c r="CE55" s="70">
        <v>3525.3</v>
      </c>
      <c r="CF55" s="70">
        <v>3498.2</v>
      </c>
      <c r="CG55" s="70">
        <v>3428.5</v>
      </c>
      <c r="CH55" s="70">
        <v>3420</v>
      </c>
      <c r="CI55" s="70">
        <v>3381.9</v>
      </c>
      <c r="CJ55" s="70">
        <v>3273</v>
      </c>
      <c r="CK55" s="70">
        <v>3220.4</v>
      </c>
      <c r="CL55" s="70">
        <v>3270.7</v>
      </c>
      <c r="CM55" s="70">
        <v>3243.6</v>
      </c>
      <c r="CN55" s="70">
        <v>3270.8</v>
      </c>
      <c r="CO55" s="70">
        <v>3236.2</v>
      </c>
      <c r="CP55" s="70">
        <v>3273.7</v>
      </c>
      <c r="CQ55" s="70">
        <v>3275.6</v>
      </c>
      <c r="CR55" s="70">
        <v>3174.7</v>
      </c>
    </row>
    <row r="56" spans="1:96" ht="16.5" customHeight="1" hidden="1">
      <c r="A56" s="190" t="s">
        <v>21</v>
      </c>
      <c r="B56" s="53">
        <v>0</v>
      </c>
      <c r="C56" s="54">
        <v>0</v>
      </c>
      <c r="D56" s="56">
        <v>0</v>
      </c>
      <c r="E56" s="58">
        <v>0</v>
      </c>
      <c r="F56" s="58">
        <v>0</v>
      </c>
      <c r="G56" s="58">
        <v>0</v>
      </c>
      <c r="H56" s="58">
        <v>6.3</v>
      </c>
      <c r="I56" s="58">
        <v>34.2</v>
      </c>
      <c r="J56" s="58">
        <v>33</v>
      </c>
      <c r="K56" s="58">
        <v>19.2</v>
      </c>
      <c r="L56" s="59">
        <v>11.2</v>
      </c>
      <c r="M56" s="60">
        <v>10.87</v>
      </c>
      <c r="N56" s="60">
        <v>10.640661</v>
      </c>
      <c r="O56" s="59">
        <v>9.8510055</v>
      </c>
      <c r="P56" s="59">
        <v>8.4</v>
      </c>
      <c r="Q56" s="61">
        <v>8.76</v>
      </c>
      <c r="R56" s="62">
        <v>8.97</v>
      </c>
      <c r="S56" s="63">
        <v>8.36</v>
      </c>
      <c r="T56" s="59">
        <v>7.18</v>
      </c>
      <c r="U56" s="59">
        <v>8.5</v>
      </c>
      <c r="V56" s="61">
        <v>7.31</v>
      </c>
      <c r="W56" s="64">
        <v>7.757</v>
      </c>
      <c r="X56" s="60">
        <v>6.4</v>
      </c>
      <c r="Y56" s="59">
        <v>6.7</v>
      </c>
      <c r="Z56" s="65">
        <v>6.5</v>
      </c>
      <c r="AA56" s="65">
        <v>5.3</v>
      </c>
      <c r="AB56" s="65">
        <v>5.3</v>
      </c>
      <c r="AC56" s="65">
        <v>5.7</v>
      </c>
      <c r="AD56" s="65">
        <v>5.3</v>
      </c>
      <c r="AE56" s="65">
        <v>5.6</v>
      </c>
      <c r="AF56" s="65">
        <v>5.3</v>
      </c>
      <c r="AG56" s="65">
        <v>4.9</v>
      </c>
      <c r="AH56" s="65">
        <v>4.6904185</v>
      </c>
      <c r="AI56" s="65">
        <v>4.6904185</v>
      </c>
      <c r="AJ56" s="60">
        <v>1.8</v>
      </c>
      <c r="AK56" s="59">
        <v>1.9</v>
      </c>
      <c r="AL56" s="59">
        <v>1.9</v>
      </c>
      <c r="AM56" s="59">
        <v>1.8</v>
      </c>
      <c r="AN56" s="59">
        <v>1.7000000000000002</v>
      </c>
      <c r="AO56" s="81">
        <v>1.8</v>
      </c>
      <c r="AP56" s="64">
        <v>1.8</v>
      </c>
      <c r="AQ56" s="65">
        <v>0.6000000000000001</v>
      </c>
      <c r="AR56" s="59">
        <v>0.6000000000000001</v>
      </c>
      <c r="AS56" s="60">
        <v>0.5</v>
      </c>
      <c r="AT56" s="64">
        <v>0.5</v>
      </c>
      <c r="AU56" s="65">
        <v>0.43</v>
      </c>
      <c r="AV56" s="60">
        <v>0.054</v>
      </c>
      <c r="AW56" s="60">
        <v>0.43</v>
      </c>
      <c r="AX56" s="60">
        <v>62.6</v>
      </c>
      <c r="AY56" s="60">
        <v>60.5</v>
      </c>
      <c r="AZ56" s="60">
        <v>60.1</v>
      </c>
      <c r="BA56" s="70">
        <v>48.7</v>
      </c>
      <c r="BB56" s="70">
        <v>95.2</v>
      </c>
      <c r="BC56" s="70">
        <v>46.1</v>
      </c>
      <c r="BD56" s="70">
        <v>46.8</v>
      </c>
      <c r="BE56" s="70">
        <v>47.6</v>
      </c>
      <c r="BF56" s="70">
        <v>46.3</v>
      </c>
      <c r="BG56" s="70">
        <v>45.6</v>
      </c>
      <c r="BH56" s="70">
        <v>47.7</v>
      </c>
      <c r="BI56" s="70">
        <v>50.8</v>
      </c>
      <c r="BJ56" s="70">
        <v>51.1</v>
      </c>
      <c r="BK56" s="70">
        <v>48.7</v>
      </c>
      <c r="BL56" s="70">
        <v>43.7</v>
      </c>
      <c r="BM56" s="70">
        <v>43.3</v>
      </c>
      <c r="BN56" s="70">
        <v>41.4</v>
      </c>
      <c r="BO56" s="70">
        <v>42.7</v>
      </c>
      <c r="BP56" s="70">
        <v>37.6</v>
      </c>
      <c r="BQ56" s="70">
        <v>37.4</v>
      </c>
      <c r="BR56" s="70">
        <v>38.3</v>
      </c>
      <c r="BS56" s="70">
        <v>39.9</v>
      </c>
      <c r="BT56" s="166">
        <v>34.4</v>
      </c>
      <c r="BU56" s="70">
        <v>34.5</v>
      </c>
      <c r="BV56" s="70">
        <v>32.5</v>
      </c>
      <c r="BW56" s="70">
        <v>28.3</v>
      </c>
      <c r="BX56" s="70">
        <v>28.2</v>
      </c>
      <c r="BY56" s="70">
        <v>26</v>
      </c>
      <c r="BZ56" s="70">
        <v>26.05</v>
      </c>
      <c r="CA56" s="70">
        <v>25.8</v>
      </c>
      <c r="CB56" s="70">
        <v>25.6</v>
      </c>
      <c r="CC56" s="70">
        <v>22.4</v>
      </c>
      <c r="CD56" s="70">
        <v>21.5</v>
      </c>
      <c r="CE56" s="70">
        <v>21.5</v>
      </c>
      <c r="CF56" s="70">
        <v>16.4</v>
      </c>
      <c r="CG56" s="70">
        <v>16</v>
      </c>
      <c r="CH56" s="70">
        <v>14.5</v>
      </c>
      <c r="CI56" s="70">
        <v>12.9</v>
      </c>
      <c r="CJ56" s="70">
        <v>9.3</v>
      </c>
      <c r="CK56" s="70">
        <v>8.1</v>
      </c>
      <c r="CL56" s="70">
        <v>8</v>
      </c>
      <c r="CM56" s="70">
        <v>8</v>
      </c>
      <c r="CN56" s="70">
        <v>5</v>
      </c>
      <c r="CO56" s="70">
        <v>3.6</v>
      </c>
      <c r="CP56" s="70">
        <v>3.2</v>
      </c>
      <c r="CQ56" s="70">
        <v>3.2</v>
      </c>
      <c r="CR56" s="70">
        <v>3.2</v>
      </c>
    </row>
    <row r="57" spans="1:96" ht="16.5" customHeight="1" hidden="1">
      <c r="A57" s="186" t="s">
        <v>48</v>
      </c>
      <c r="B57" s="74">
        <f aca="true" t="shared" si="35" ref="B57:AT57">B58+B59</f>
        <v>3.3</v>
      </c>
      <c r="C57" s="74">
        <f t="shared" si="35"/>
        <v>41.4</v>
      </c>
      <c r="D57" s="74">
        <f t="shared" si="35"/>
        <v>73.6</v>
      </c>
      <c r="E57" s="72">
        <f t="shared" si="35"/>
        <v>226.6</v>
      </c>
      <c r="F57" s="72">
        <f t="shared" si="35"/>
        <v>672.4</v>
      </c>
      <c r="G57" s="72">
        <f t="shared" si="35"/>
        <v>2629.1</v>
      </c>
      <c r="H57" s="72">
        <f t="shared" si="35"/>
        <v>3472.3</v>
      </c>
      <c r="I57" s="72">
        <f t="shared" si="35"/>
        <v>6174.6</v>
      </c>
      <c r="J57" s="72">
        <f t="shared" si="35"/>
        <v>9238.6</v>
      </c>
      <c r="K57" s="72">
        <f t="shared" si="35"/>
        <v>10835.2</v>
      </c>
      <c r="L57" s="73">
        <f t="shared" si="35"/>
        <v>11948.925216</v>
      </c>
      <c r="M57" s="74">
        <f t="shared" si="35"/>
        <v>11658.64851</v>
      </c>
      <c r="N57" s="74">
        <f t="shared" si="35"/>
        <v>11612.776000000002</v>
      </c>
      <c r="O57" s="74">
        <f t="shared" si="35"/>
        <v>11504.005491</v>
      </c>
      <c r="P57" s="74">
        <f t="shared" si="35"/>
        <v>11466.9496</v>
      </c>
      <c r="Q57" s="74">
        <f t="shared" si="35"/>
        <v>11541.84824</v>
      </c>
      <c r="R57" s="74">
        <f t="shared" si="35"/>
        <v>11637.711319999999</v>
      </c>
      <c r="S57" s="74">
        <f t="shared" si="35"/>
        <v>11677.714100000001</v>
      </c>
      <c r="T57" s="74">
        <f t="shared" si="35"/>
        <v>11597.09276</v>
      </c>
      <c r="U57" s="74">
        <f t="shared" si="35"/>
        <v>11708.5</v>
      </c>
      <c r="V57" s="72">
        <f t="shared" si="35"/>
        <v>11922.022079999999</v>
      </c>
      <c r="W57" s="73">
        <f t="shared" si="35"/>
        <v>11923.50922</v>
      </c>
      <c r="X57" s="72">
        <f t="shared" si="35"/>
        <v>12879.349999999999</v>
      </c>
      <c r="Y57" s="72">
        <f t="shared" si="35"/>
        <v>12622</v>
      </c>
      <c r="Z57" s="72">
        <f t="shared" si="35"/>
        <v>12595.9</v>
      </c>
      <c r="AA57" s="72">
        <f t="shared" si="35"/>
        <v>12548</v>
      </c>
      <c r="AB57" s="72">
        <f t="shared" si="35"/>
        <v>12695.600000000002</v>
      </c>
      <c r="AC57" s="72">
        <f t="shared" si="35"/>
        <v>13013.7</v>
      </c>
      <c r="AD57" s="72">
        <f t="shared" si="35"/>
        <v>13070.900000000001</v>
      </c>
      <c r="AE57" s="72">
        <f t="shared" si="35"/>
        <v>13244.800000000001</v>
      </c>
      <c r="AF57" s="72">
        <f t="shared" si="35"/>
        <v>13199.4</v>
      </c>
      <c r="AG57" s="72">
        <f t="shared" si="35"/>
        <v>13493</v>
      </c>
      <c r="AH57" s="72">
        <f t="shared" si="35"/>
        <v>13557.60004</v>
      </c>
      <c r="AI57" s="72">
        <f t="shared" si="35"/>
        <v>13574</v>
      </c>
      <c r="AJ57" s="72">
        <f t="shared" si="35"/>
        <v>14000.7</v>
      </c>
      <c r="AK57" s="73">
        <f t="shared" si="35"/>
        <v>13816.300000000001</v>
      </c>
      <c r="AL57" s="73">
        <f t="shared" si="35"/>
        <v>13794.199999999999</v>
      </c>
      <c r="AM57" s="73">
        <f t="shared" si="35"/>
        <v>14185.9</v>
      </c>
      <c r="AN57" s="73">
        <f t="shared" si="35"/>
        <v>14201.800000000001</v>
      </c>
      <c r="AO57" s="72">
        <f t="shared" si="35"/>
        <v>14612.9</v>
      </c>
      <c r="AP57" s="74">
        <f t="shared" si="35"/>
        <v>14608.4</v>
      </c>
      <c r="AQ57" s="75">
        <f t="shared" si="35"/>
        <v>14723.800000000001</v>
      </c>
      <c r="AR57" s="73">
        <f t="shared" si="35"/>
        <v>14762.1</v>
      </c>
      <c r="AS57" s="72">
        <f t="shared" si="35"/>
        <v>14750.400000000001</v>
      </c>
      <c r="AT57" s="74">
        <f t="shared" si="35"/>
        <v>14754.300000000001</v>
      </c>
      <c r="AU57" s="75">
        <v>14791.1</v>
      </c>
      <c r="AV57" s="72">
        <f aca="true" t="shared" si="36" ref="AV57:CM57">AV58+AV59</f>
        <v>14971.1</v>
      </c>
      <c r="AW57" s="72">
        <f t="shared" si="36"/>
        <v>14832.900000000001</v>
      </c>
      <c r="AX57" s="72">
        <f t="shared" si="36"/>
        <v>14920.9</v>
      </c>
      <c r="AY57" s="72">
        <f t="shared" si="36"/>
        <v>14848.9</v>
      </c>
      <c r="AZ57" s="72">
        <f t="shared" si="36"/>
        <v>14852</v>
      </c>
      <c r="BA57" s="76">
        <f t="shared" si="36"/>
        <v>14718.3</v>
      </c>
      <c r="BB57" s="76">
        <f t="shared" si="36"/>
        <v>14691.2</v>
      </c>
      <c r="BC57" s="76">
        <f t="shared" si="36"/>
        <v>14691.8</v>
      </c>
      <c r="BD57" s="76">
        <f t="shared" si="36"/>
        <v>14693.9</v>
      </c>
      <c r="BE57" s="76">
        <f t="shared" si="36"/>
        <v>14709</v>
      </c>
      <c r="BF57" s="76">
        <f t="shared" si="36"/>
        <v>14655.2</v>
      </c>
      <c r="BG57" s="76">
        <f t="shared" si="36"/>
        <v>14644.400000000001</v>
      </c>
      <c r="BH57" s="76">
        <f t="shared" si="36"/>
        <v>14891.7</v>
      </c>
      <c r="BI57" s="76">
        <f t="shared" si="36"/>
        <v>14677.700000000003</v>
      </c>
      <c r="BJ57" s="76">
        <f t="shared" si="36"/>
        <v>14865.400000000001</v>
      </c>
      <c r="BK57" s="76">
        <f t="shared" si="36"/>
        <v>14758.300000000001</v>
      </c>
      <c r="BL57" s="76">
        <f t="shared" si="36"/>
        <v>14771.8</v>
      </c>
      <c r="BM57" s="76">
        <f t="shared" si="36"/>
        <v>16990.7</v>
      </c>
      <c r="BN57" s="76">
        <f t="shared" si="36"/>
        <v>14781.699999999999</v>
      </c>
      <c r="BO57" s="76">
        <f t="shared" si="36"/>
        <v>14722.5</v>
      </c>
      <c r="BP57" s="76">
        <f t="shared" si="36"/>
        <v>15195.9</v>
      </c>
      <c r="BQ57" s="76">
        <f t="shared" si="36"/>
        <v>15205.6</v>
      </c>
      <c r="BR57" s="76">
        <f t="shared" si="36"/>
        <v>15290.199999999999</v>
      </c>
      <c r="BS57" s="76">
        <f t="shared" si="36"/>
        <v>15468.9</v>
      </c>
      <c r="BT57" s="76">
        <f t="shared" si="36"/>
        <v>16791.1</v>
      </c>
      <c r="BU57" s="76">
        <f t="shared" si="36"/>
        <v>16226.9</v>
      </c>
      <c r="BV57" s="76">
        <f t="shared" si="36"/>
        <v>16100.9</v>
      </c>
      <c r="BW57" s="76">
        <f t="shared" si="36"/>
        <v>15960.9</v>
      </c>
      <c r="BX57" s="76">
        <f t="shared" si="36"/>
        <v>16110.599999999999</v>
      </c>
      <c r="BY57" s="76">
        <f t="shared" si="36"/>
        <v>16082.7</v>
      </c>
      <c r="BZ57" s="76">
        <f t="shared" si="36"/>
        <v>16080.7</v>
      </c>
      <c r="CA57" s="76">
        <f t="shared" si="36"/>
        <v>15973.6</v>
      </c>
      <c r="CB57" s="76">
        <f t="shared" si="36"/>
        <v>15901.300000000001</v>
      </c>
      <c r="CC57" s="76">
        <f t="shared" si="36"/>
        <v>15856.1</v>
      </c>
      <c r="CD57" s="76">
        <f t="shared" si="36"/>
        <v>15901.3</v>
      </c>
      <c r="CE57" s="76">
        <f t="shared" si="36"/>
        <v>15901.3</v>
      </c>
      <c r="CF57" s="76">
        <f t="shared" si="36"/>
        <v>16040.9</v>
      </c>
      <c r="CG57" s="76">
        <f t="shared" si="36"/>
        <v>15548</v>
      </c>
      <c r="CH57" s="76">
        <f t="shared" si="36"/>
        <v>15558.8</v>
      </c>
      <c r="CI57" s="76">
        <f t="shared" si="36"/>
        <v>15790.3</v>
      </c>
      <c r="CJ57" s="76">
        <f t="shared" si="36"/>
        <v>15648.9</v>
      </c>
      <c r="CK57" s="76">
        <f t="shared" si="36"/>
        <v>15462</v>
      </c>
      <c r="CL57" s="76">
        <f t="shared" si="36"/>
        <v>15552.5</v>
      </c>
      <c r="CM57" s="76">
        <f t="shared" si="36"/>
        <v>15625.2</v>
      </c>
      <c r="CN57" s="76">
        <f>CN58+CN59</f>
        <v>15611.5</v>
      </c>
      <c r="CO57" s="76">
        <f>CO58+CO59</f>
        <v>15528.9</v>
      </c>
      <c r="CP57" s="76">
        <f>CP58+CP59</f>
        <v>15671.699999999999</v>
      </c>
      <c r="CQ57" s="76">
        <f>CQ58+CQ59</f>
        <v>15671.699999999999</v>
      </c>
      <c r="CR57" s="76">
        <f>CR58+CR59</f>
        <v>15238.8</v>
      </c>
    </row>
    <row r="58" spans="1:96" ht="16.5" customHeight="1" hidden="1">
      <c r="A58" s="190" t="s">
        <v>49</v>
      </c>
      <c r="B58" s="123">
        <v>3.3</v>
      </c>
      <c r="C58" s="124">
        <v>41.4</v>
      </c>
      <c r="D58" s="56">
        <v>63.5</v>
      </c>
      <c r="E58" s="58">
        <v>196.7</v>
      </c>
      <c r="F58" s="58">
        <f>341+267.6</f>
        <v>608.6</v>
      </c>
      <c r="G58" s="58">
        <v>665.8</v>
      </c>
      <c r="H58" s="58">
        <v>476.4</v>
      </c>
      <c r="I58" s="58">
        <v>1192.8</v>
      </c>
      <c r="J58" s="58">
        <v>1295.1</v>
      </c>
      <c r="K58" s="58">
        <v>3115.8</v>
      </c>
      <c r="L58" s="59">
        <v>2350.728</v>
      </c>
      <c r="M58" s="64">
        <v>7607.98371</v>
      </c>
      <c r="N58" s="64">
        <v>3270.9412</v>
      </c>
      <c r="O58" s="64">
        <v>3259.9031</v>
      </c>
      <c r="P58" s="64">
        <v>3250.628</v>
      </c>
      <c r="Q58" s="125">
        <v>3274.6865</v>
      </c>
      <c r="R58" s="62">
        <v>3283.3252</v>
      </c>
      <c r="S58" s="126">
        <v>3294.7245</v>
      </c>
      <c r="T58" s="64">
        <v>3294.9653</v>
      </c>
      <c r="U58" s="59">
        <v>3300.1</v>
      </c>
      <c r="V58" s="61">
        <v>3405.3635</v>
      </c>
      <c r="W58" s="64">
        <v>3405.08056</v>
      </c>
      <c r="X58" s="60">
        <v>550.05</v>
      </c>
      <c r="Y58" s="59">
        <f>Y48*0.0646</f>
        <v>815.3812</v>
      </c>
      <c r="Z58" s="65">
        <f>Z48*0.0646</f>
        <v>813.69514</v>
      </c>
      <c r="AA58" s="65">
        <f>AA48*0.0646</f>
        <v>810.6008</v>
      </c>
      <c r="AB58" s="65">
        <f>AB48*0.0646</f>
        <v>820.1357600000001</v>
      </c>
      <c r="AC58" s="65">
        <v>539.5</v>
      </c>
      <c r="AD58" s="65">
        <v>538.2</v>
      </c>
      <c r="AE58" s="65">
        <v>541.2</v>
      </c>
      <c r="AF58" s="65">
        <v>545.5</v>
      </c>
      <c r="AG58" s="65">
        <v>553.6</v>
      </c>
      <c r="AH58" s="65">
        <v>558.25382</v>
      </c>
      <c r="AI58" s="65">
        <v>560.7</v>
      </c>
      <c r="AJ58" s="60">
        <v>566.1</v>
      </c>
      <c r="AK58" s="59">
        <v>584.2</v>
      </c>
      <c r="AL58" s="59">
        <v>584.3</v>
      </c>
      <c r="AM58" s="59">
        <v>607.8</v>
      </c>
      <c r="AN58" s="59">
        <v>614.7</v>
      </c>
      <c r="AO58" s="60">
        <v>638.5</v>
      </c>
      <c r="AP58" s="64">
        <v>635.6</v>
      </c>
      <c r="AQ58" s="65">
        <v>634.6</v>
      </c>
      <c r="AR58" s="59">
        <v>634.7</v>
      </c>
      <c r="AS58" s="60">
        <v>633.2</v>
      </c>
      <c r="AT58" s="64">
        <v>633.2</v>
      </c>
      <c r="AU58" s="65">
        <v>634.8</v>
      </c>
      <c r="AV58" s="60">
        <v>505.6</v>
      </c>
      <c r="AW58" s="60">
        <v>678.2</v>
      </c>
      <c r="AX58" s="60">
        <v>680.4</v>
      </c>
      <c r="AY58" s="60">
        <v>679.3</v>
      </c>
      <c r="AZ58" s="60">
        <v>671.3</v>
      </c>
      <c r="BA58" s="70">
        <v>667.5</v>
      </c>
      <c r="BB58" s="70">
        <v>668.7</v>
      </c>
      <c r="BC58" s="70">
        <v>667.3</v>
      </c>
      <c r="BD58" s="70">
        <v>668.1</v>
      </c>
      <c r="BE58" s="70">
        <v>670.4</v>
      </c>
      <c r="BF58" s="70">
        <v>661.5</v>
      </c>
      <c r="BG58" s="70">
        <v>661.2</v>
      </c>
      <c r="BH58" s="70">
        <v>747.2</v>
      </c>
      <c r="BI58" s="70">
        <f>BI48*0.05</f>
        <v>733.8850000000001</v>
      </c>
      <c r="BJ58" s="70">
        <f>BJ48*0.05</f>
        <v>743.27</v>
      </c>
      <c r="BK58" s="70">
        <v>711.2</v>
      </c>
      <c r="BL58" s="70">
        <v>708.5</v>
      </c>
      <c r="BM58" s="70">
        <v>900.6</v>
      </c>
      <c r="BN58" s="70">
        <v>902.9</v>
      </c>
      <c r="BO58" s="70">
        <v>901</v>
      </c>
      <c r="BP58" s="70">
        <v>928.9</v>
      </c>
      <c r="BQ58" s="70">
        <v>928.5</v>
      </c>
      <c r="BR58" s="70">
        <v>929.8</v>
      </c>
      <c r="BS58" s="70">
        <v>938.6</v>
      </c>
      <c r="BT58" s="166">
        <v>1123.5</v>
      </c>
      <c r="BU58" s="70">
        <v>992.8</v>
      </c>
      <c r="BV58" s="70">
        <v>985.3</v>
      </c>
      <c r="BW58" s="70">
        <v>974.1</v>
      </c>
      <c r="BX58" s="70">
        <v>981.8</v>
      </c>
      <c r="BY58" s="70">
        <v>978.2</v>
      </c>
      <c r="BZ58" s="70">
        <v>976</v>
      </c>
      <c r="CA58" s="70">
        <v>971.9</v>
      </c>
      <c r="CB58" s="70">
        <v>967.6</v>
      </c>
      <c r="CC58" s="70">
        <v>966.2</v>
      </c>
      <c r="CD58" s="70">
        <v>973.5</v>
      </c>
      <c r="CE58" s="70">
        <v>973.5</v>
      </c>
      <c r="CF58" s="70">
        <v>978.4</v>
      </c>
      <c r="CG58" s="70">
        <v>959</v>
      </c>
      <c r="CH58" s="70">
        <v>959.5</v>
      </c>
      <c r="CI58" s="70">
        <v>977.4</v>
      </c>
      <c r="CJ58" s="70">
        <v>963.3</v>
      </c>
      <c r="CK58" s="70">
        <v>952.5</v>
      </c>
      <c r="CL58" s="70">
        <v>954.6</v>
      </c>
      <c r="CM58" s="70">
        <v>959.7</v>
      </c>
      <c r="CN58" s="70">
        <v>957.5</v>
      </c>
      <c r="CO58" s="70">
        <v>953.4</v>
      </c>
      <c r="CP58" s="70">
        <v>954.9</v>
      </c>
      <c r="CQ58" s="70">
        <v>954.9</v>
      </c>
      <c r="CR58" s="70">
        <v>928</v>
      </c>
    </row>
    <row r="59" spans="1:96" ht="16.5" customHeight="1" hidden="1" thickBot="1">
      <c r="A59" s="190" t="s">
        <v>50</v>
      </c>
      <c r="B59" s="123">
        <v>0</v>
      </c>
      <c r="C59" s="124">
        <v>0</v>
      </c>
      <c r="D59" s="56">
        <v>10.1</v>
      </c>
      <c r="E59" s="58">
        <v>29.9</v>
      </c>
      <c r="F59" s="58">
        <v>63.8</v>
      </c>
      <c r="G59" s="58">
        <v>1963.3</v>
      </c>
      <c r="H59" s="58">
        <v>2995.9</v>
      </c>
      <c r="I59" s="58">
        <v>4981.8</v>
      </c>
      <c r="J59" s="58">
        <v>7943.5</v>
      </c>
      <c r="K59" s="58">
        <v>7719.4</v>
      </c>
      <c r="L59" s="59">
        <v>9598.197216</v>
      </c>
      <c r="M59" s="64">
        <v>4050.6648</v>
      </c>
      <c r="N59" s="64">
        <v>8341.8348</v>
      </c>
      <c r="O59" s="64">
        <v>8244.102391</v>
      </c>
      <c r="P59" s="64">
        <v>8216.3216</v>
      </c>
      <c r="Q59" s="125">
        <v>8267.16174</v>
      </c>
      <c r="R59" s="62">
        <v>8354.38612</v>
      </c>
      <c r="S59" s="126">
        <v>8382.9896</v>
      </c>
      <c r="T59" s="64">
        <v>8302.12746</v>
      </c>
      <c r="U59" s="59">
        <v>8408.4</v>
      </c>
      <c r="V59" s="61">
        <v>8516.65858</v>
      </c>
      <c r="W59" s="64">
        <v>8518.42866</v>
      </c>
      <c r="X59" s="60">
        <v>12329.3</v>
      </c>
      <c r="Y59" s="59">
        <f>Y48-Y58</f>
        <v>11806.6188</v>
      </c>
      <c r="Z59" s="65">
        <f>Z48-Z58</f>
        <v>11782.20486</v>
      </c>
      <c r="AA59" s="65">
        <f>AA48-AA58</f>
        <v>11737.3992</v>
      </c>
      <c r="AB59" s="65">
        <f>AB48-AB58</f>
        <v>11875.464240000001</v>
      </c>
      <c r="AC59" s="65">
        <v>12474.2</v>
      </c>
      <c r="AD59" s="65">
        <v>12532.7</v>
      </c>
      <c r="AE59" s="65">
        <v>12703.6</v>
      </c>
      <c r="AF59" s="65">
        <v>12653.9</v>
      </c>
      <c r="AG59" s="65">
        <v>12939.4</v>
      </c>
      <c r="AH59" s="65">
        <v>12999.34622</v>
      </c>
      <c r="AI59" s="65">
        <v>13013.3</v>
      </c>
      <c r="AJ59" s="60">
        <v>13434.6</v>
      </c>
      <c r="AK59" s="59">
        <v>13232.1</v>
      </c>
      <c r="AL59" s="59">
        <v>13209.9</v>
      </c>
      <c r="AM59" s="59">
        <v>13578.1</v>
      </c>
      <c r="AN59" s="59">
        <v>13587.1</v>
      </c>
      <c r="AO59" s="60">
        <v>13974.4</v>
      </c>
      <c r="AP59" s="64">
        <v>13972.8</v>
      </c>
      <c r="AQ59" s="65">
        <v>14089.2</v>
      </c>
      <c r="AR59" s="59">
        <v>14127.4</v>
      </c>
      <c r="AS59" s="60">
        <v>14117.2</v>
      </c>
      <c r="AT59" s="64">
        <v>14121.1</v>
      </c>
      <c r="AU59" s="65">
        <v>14156.3</v>
      </c>
      <c r="AV59" s="60">
        <v>14465.5</v>
      </c>
      <c r="AW59" s="60">
        <v>14154.7</v>
      </c>
      <c r="AX59" s="60">
        <v>14240.5</v>
      </c>
      <c r="AY59" s="60">
        <v>14169.6</v>
      </c>
      <c r="AZ59" s="60">
        <v>14180.7</v>
      </c>
      <c r="BA59" s="70">
        <v>14050.8</v>
      </c>
      <c r="BB59" s="70">
        <v>14022.5</v>
      </c>
      <c r="BC59" s="70">
        <v>14024.5</v>
      </c>
      <c r="BD59" s="70">
        <v>14025.8</v>
      </c>
      <c r="BE59" s="70">
        <v>14038.6</v>
      </c>
      <c r="BF59" s="70">
        <v>13993.7</v>
      </c>
      <c r="BG59" s="70">
        <v>13983.2</v>
      </c>
      <c r="BH59" s="70">
        <v>14144.5</v>
      </c>
      <c r="BI59" s="70">
        <f>BI48*0.95</f>
        <v>13943.815000000002</v>
      </c>
      <c r="BJ59" s="70">
        <f>BJ48*0.95</f>
        <v>14122.130000000001</v>
      </c>
      <c r="BK59" s="70">
        <v>14047.1</v>
      </c>
      <c r="BL59" s="70">
        <v>14063.3</v>
      </c>
      <c r="BM59" s="70">
        <v>16090.1</v>
      </c>
      <c r="BN59" s="70">
        <v>13878.8</v>
      </c>
      <c r="BO59" s="70">
        <v>13821.5</v>
      </c>
      <c r="BP59" s="70">
        <v>14267</v>
      </c>
      <c r="BQ59" s="70">
        <v>14277.1</v>
      </c>
      <c r="BR59" s="70">
        <v>14360.4</v>
      </c>
      <c r="BS59" s="70">
        <v>14530.3</v>
      </c>
      <c r="BT59" s="166">
        <v>15667.6</v>
      </c>
      <c r="BU59" s="70">
        <v>15234.1</v>
      </c>
      <c r="BV59" s="70">
        <v>15115.6</v>
      </c>
      <c r="BW59" s="70">
        <v>14986.8</v>
      </c>
      <c r="BX59" s="70">
        <v>15128.8</v>
      </c>
      <c r="BY59" s="70">
        <v>15104.5</v>
      </c>
      <c r="BZ59" s="70">
        <v>15104.7</v>
      </c>
      <c r="CA59" s="70">
        <v>15001.7</v>
      </c>
      <c r="CB59" s="70">
        <v>14933.7</v>
      </c>
      <c r="CC59" s="70">
        <v>14889.9</v>
      </c>
      <c r="CD59" s="70">
        <v>14927.8</v>
      </c>
      <c r="CE59" s="70">
        <v>14927.8</v>
      </c>
      <c r="CF59" s="70">
        <v>15062.5</v>
      </c>
      <c r="CG59" s="70">
        <v>14589</v>
      </c>
      <c r="CH59" s="70">
        <v>14599.3</v>
      </c>
      <c r="CI59" s="70">
        <v>14812.9</v>
      </c>
      <c r="CJ59" s="70">
        <v>14685.6</v>
      </c>
      <c r="CK59" s="70">
        <v>14509.5</v>
      </c>
      <c r="CL59" s="70">
        <v>14597.9</v>
      </c>
      <c r="CM59" s="70">
        <v>14665.5</v>
      </c>
      <c r="CN59" s="70">
        <v>14654</v>
      </c>
      <c r="CO59" s="70">
        <v>14575.5</v>
      </c>
      <c r="CP59" s="70">
        <v>14716.8</v>
      </c>
      <c r="CQ59" s="70">
        <v>14716.8</v>
      </c>
      <c r="CR59" s="70">
        <v>14310.8</v>
      </c>
    </row>
    <row r="60" spans="1:96" ht="25.5" customHeight="1">
      <c r="A60" s="263" t="s">
        <v>64</v>
      </c>
      <c r="B60" s="264"/>
      <c r="C60" s="265"/>
      <c r="D60" s="266"/>
      <c r="E60" s="266"/>
      <c r="F60" s="266"/>
      <c r="G60" s="266"/>
      <c r="H60" s="266"/>
      <c r="I60" s="266"/>
      <c r="J60" s="271">
        <v>12460.8</v>
      </c>
      <c r="K60" s="271">
        <v>76109.6</v>
      </c>
      <c r="L60" s="271">
        <v>51912.4</v>
      </c>
      <c r="M60" s="268"/>
      <c r="N60" s="268"/>
      <c r="O60" s="268"/>
      <c r="P60" s="268"/>
      <c r="Q60" s="269"/>
      <c r="R60" s="268"/>
      <c r="S60" s="269"/>
      <c r="T60" s="268"/>
      <c r="U60" s="268"/>
      <c r="V60" s="269"/>
      <c r="W60" s="268"/>
      <c r="X60" s="271">
        <v>57246.7</v>
      </c>
      <c r="Y60" s="268"/>
      <c r="Z60" s="268"/>
      <c r="AA60" s="268"/>
      <c r="AB60" s="268"/>
      <c r="AC60" s="268"/>
      <c r="AD60" s="268"/>
      <c r="AE60" s="268"/>
      <c r="AF60" s="268"/>
      <c r="AG60" s="268"/>
      <c r="AH60" s="268"/>
      <c r="AI60" s="268"/>
      <c r="AJ60" s="271">
        <v>61659.6</v>
      </c>
      <c r="AK60" s="268"/>
      <c r="AL60" s="268"/>
      <c r="AM60" s="268"/>
      <c r="AN60" s="268"/>
      <c r="AO60" s="268"/>
      <c r="AP60" s="268"/>
      <c r="AQ60" s="268"/>
      <c r="AR60" s="268"/>
      <c r="AS60" s="268"/>
      <c r="AT60" s="268"/>
      <c r="AU60" s="268"/>
      <c r="AV60" s="271">
        <v>55449.2</v>
      </c>
      <c r="AW60" s="268"/>
      <c r="AX60" s="268"/>
      <c r="AY60" s="268"/>
      <c r="AZ60" s="268"/>
      <c r="BA60" s="268"/>
      <c r="BB60" s="268"/>
      <c r="BC60" s="268"/>
      <c r="BD60" s="268"/>
      <c r="BE60" s="268"/>
      <c r="BF60" s="268"/>
      <c r="BG60" s="268"/>
      <c r="BH60" s="271">
        <v>44743.7</v>
      </c>
      <c r="BI60" s="268"/>
      <c r="BJ60" s="268"/>
      <c r="BK60" s="268"/>
      <c r="BL60" s="268"/>
      <c r="BM60" s="268"/>
      <c r="BN60" s="268"/>
      <c r="BO60" s="268"/>
      <c r="BP60" s="268"/>
      <c r="BQ60" s="268"/>
      <c r="BR60" s="268"/>
      <c r="BS60" s="268"/>
      <c r="BT60" s="271">
        <v>36443.6</v>
      </c>
      <c r="BU60" s="268"/>
      <c r="BV60" s="268"/>
      <c r="BW60" s="268"/>
      <c r="BX60" s="268"/>
      <c r="BY60" s="268"/>
      <c r="BZ60" s="268"/>
      <c r="CA60" s="268"/>
      <c r="CB60" s="268"/>
      <c r="CC60" s="268"/>
      <c r="CD60" s="268"/>
      <c r="CE60" s="268"/>
      <c r="CF60" s="271">
        <v>49547.2</v>
      </c>
      <c r="CG60" s="268"/>
      <c r="CH60" s="268"/>
      <c r="CI60" s="268"/>
      <c r="CJ60" s="268"/>
      <c r="CK60" s="268"/>
      <c r="CL60" s="268"/>
      <c r="CM60" s="268"/>
      <c r="CN60" s="268"/>
      <c r="CO60" s="268"/>
      <c r="CP60" s="268"/>
      <c r="CQ60" s="268"/>
      <c r="CR60" s="271">
        <v>41378.4</v>
      </c>
    </row>
    <row r="61" spans="1:97" ht="25.5" customHeight="1">
      <c r="A61" s="270" t="s">
        <v>65</v>
      </c>
      <c r="B61" s="264"/>
      <c r="C61" s="265"/>
      <c r="D61" s="266"/>
      <c r="E61" s="266"/>
      <c r="F61" s="266"/>
      <c r="G61" s="266"/>
      <c r="H61" s="266"/>
      <c r="I61" s="266"/>
      <c r="J61" s="266">
        <v>8868.3</v>
      </c>
      <c r="K61" s="266">
        <v>19850.4</v>
      </c>
      <c r="L61" s="266">
        <v>38724.3</v>
      </c>
      <c r="M61" s="266"/>
      <c r="N61" s="266"/>
      <c r="O61" s="266"/>
      <c r="P61" s="266"/>
      <c r="Q61" s="267"/>
      <c r="R61" s="268"/>
      <c r="S61" s="269"/>
      <c r="T61" s="266"/>
      <c r="U61" s="266"/>
      <c r="V61" s="267"/>
      <c r="W61" s="266"/>
      <c r="X61" s="266">
        <v>38324.1</v>
      </c>
      <c r="Y61" s="266"/>
      <c r="Z61" s="266"/>
      <c r="AA61" s="266"/>
      <c r="AB61" s="266"/>
      <c r="AC61" s="266"/>
      <c r="AD61" s="266"/>
      <c r="AE61" s="266"/>
      <c r="AF61" s="266"/>
      <c r="AG61" s="266"/>
      <c r="AH61" s="266"/>
      <c r="AI61" s="266"/>
      <c r="AJ61" s="266">
        <v>29000.9</v>
      </c>
      <c r="AK61" s="266"/>
      <c r="AL61" s="266"/>
      <c r="AM61" s="266"/>
      <c r="AN61" s="266"/>
      <c r="AO61" s="266"/>
      <c r="AP61" s="266"/>
      <c r="AQ61" s="266"/>
      <c r="AR61" s="266"/>
      <c r="AS61" s="266"/>
      <c r="AT61" s="266"/>
      <c r="AU61" s="266"/>
      <c r="AV61" s="266">
        <v>10785.1</v>
      </c>
      <c r="AW61" s="266"/>
      <c r="AX61" s="266"/>
      <c r="AY61" s="266"/>
      <c r="AZ61" s="266"/>
      <c r="BA61" s="266"/>
      <c r="BB61" s="266"/>
      <c r="BC61" s="266"/>
      <c r="BD61" s="266"/>
      <c r="BE61" s="266"/>
      <c r="BF61" s="266"/>
      <c r="BG61" s="266"/>
      <c r="BH61" s="266">
        <v>12822.9</v>
      </c>
      <c r="BI61" s="266"/>
      <c r="BJ61" s="266"/>
      <c r="BK61" s="266"/>
      <c r="BL61" s="266"/>
      <c r="BM61" s="266"/>
      <c r="BN61" s="266"/>
      <c r="BO61" s="266"/>
      <c r="BP61" s="266"/>
      <c r="BQ61" s="266"/>
      <c r="BR61" s="266"/>
      <c r="BS61" s="266"/>
      <c r="BT61" s="266">
        <v>11454</v>
      </c>
      <c r="BU61" s="266"/>
      <c r="BV61" s="266"/>
      <c r="BW61" s="266"/>
      <c r="BX61" s="266"/>
      <c r="BY61" s="266"/>
      <c r="BZ61" s="266"/>
      <c r="CA61" s="266"/>
      <c r="CB61" s="266"/>
      <c r="CC61" s="266"/>
      <c r="CD61" s="266"/>
      <c r="CE61" s="266"/>
      <c r="CF61" s="266">
        <v>13727.7</v>
      </c>
      <c r="CG61" s="266"/>
      <c r="CH61" s="266"/>
      <c r="CI61" s="266"/>
      <c r="CJ61" s="266"/>
      <c r="CK61" s="266"/>
      <c r="CL61" s="266"/>
      <c r="CM61" s="266"/>
      <c r="CN61" s="266"/>
      <c r="CO61" s="266"/>
      <c r="CP61" s="266"/>
      <c r="CQ61" s="266"/>
      <c r="CR61" s="266">
        <v>10883.1</v>
      </c>
      <c r="CS61" s="273">
        <f>CR61/CR60</f>
        <v>0.26301403630879877</v>
      </c>
    </row>
    <row r="62" spans="1:97" ht="25.5" customHeight="1">
      <c r="A62" s="270" t="s">
        <v>66</v>
      </c>
      <c r="B62" s="264"/>
      <c r="C62" s="265"/>
      <c r="D62" s="266"/>
      <c r="E62" s="266"/>
      <c r="F62" s="266"/>
      <c r="G62" s="266"/>
      <c r="H62" s="266"/>
      <c r="I62" s="266"/>
      <c r="J62" s="266">
        <v>3592.5</v>
      </c>
      <c r="K62" s="266">
        <v>56259.2</v>
      </c>
      <c r="L62" s="266">
        <v>13188.1</v>
      </c>
      <c r="M62" s="266"/>
      <c r="N62" s="266"/>
      <c r="O62" s="266"/>
      <c r="P62" s="266"/>
      <c r="Q62" s="267"/>
      <c r="R62" s="268"/>
      <c r="S62" s="269"/>
      <c r="T62" s="266"/>
      <c r="U62" s="266"/>
      <c r="V62" s="267"/>
      <c r="W62" s="266"/>
      <c r="X62" s="266">
        <v>18922.6</v>
      </c>
      <c r="Y62" s="266"/>
      <c r="Z62" s="266"/>
      <c r="AA62" s="266"/>
      <c r="AB62" s="266"/>
      <c r="AC62" s="266"/>
      <c r="AD62" s="266"/>
      <c r="AE62" s="266"/>
      <c r="AF62" s="266"/>
      <c r="AG62" s="266"/>
      <c r="AH62" s="266"/>
      <c r="AI62" s="266"/>
      <c r="AJ62" s="266">
        <f>AJ60-AJ61</f>
        <v>32658.699999999997</v>
      </c>
      <c r="AK62" s="266"/>
      <c r="AL62" s="266"/>
      <c r="AM62" s="266"/>
      <c r="AN62" s="266"/>
      <c r="AO62" s="266"/>
      <c r="AP62" s="266"/>
      <c r="AQ62" s="266"/>
      <c r="AR62" s="266"/>
      <c r="AS62" s="266"/>
      <c r="AT62" s="266"/>
      <c r="AU62" s="266"/>
      <c r="AV62" s="266">
        <f>AV60-AV61</f>
        <v>44664.1</v>
      </c>
      <c r="AW62" s="266"/>
      <c r="AX62" s="266"/>
      <c r="AY62" s="266"/>
      <c r="AZ62" s="266"/>
      <c r="BA62" s="266"/>
      <c r="BB62" s="266"/>
      <c r="BC62" s="266"/>
      <c r="BD62" s="266"/>
      <c r="BE62" s="266"/>
      <c r="BF62" s="266"/>
      <c r="BG62" s="266"/>
      <c r="BH62" s="266">
        <f>BH60-BH61</f>
        <v>31920.799999999996</v>
      </c>
      <c r="BI62" s="266"/>
      <c r="BJ62" s="266"/>
      <c r="BK62" s="266"/>
      <c r="BL62" s="266"/>
      <c r="BM62" s="266"/>
      <c r="BN62" s="266"/>
      <c r="BO62" s="266"/>
      <c r="BP62" s="266"/>
      <c r="BQ62" s="266"/>
      <c r="BR62" s="266"/>
      <c r="BS62" s="266"/>
      <c r="BT62" s="266">
        <f>BT60-BT61</f>
        <v>24989.6</v>
      </c>
      <c r="BU62" s="266"/>
      <c r="BV62" s="266"/>
      <c r="BW62" s="266"/>
      <c r="BX62" s="266"/>
      <c r="BY62" s="266"/>
      <c r="BZ62" s="266"/>
      <c r="CA62" s="266"/>
      <c r="CB62" s="266"/>
      <c r="CC62" s="266"/>
      <c r="CD62" s="266"/>
      <c r="CE62" s="266"/>
      <c r="CF62" s="266">
        <v>35819.5</v>
      </c>
      <c r="CG62" s="266"/>
      <c r="CH62" s="266"/>
      <c r="CI62" s="266"/>
      <c r="CJ62" s="266"/>
      <c r="CK62" s="266"/>
      <c r="CL62" s="266"/>
      <c r="CM62" s="266"/>
      <c r="CN62" s="266"/>
      <c r="CO62" s="266"/>
      <c r="CP62" s="266"/>
      <c r="CQ62" s="266"/>
      <c r="CR62" s="266">
        <f>CR60-CR61</f>
        <v>30495.300000000003</v>
      </c>
      <c r="CS62" s="273">
        <f>CR62/CR60</f>
        <v>0.7369859636912013</v>
      </c>
    </row>
    <row r="63" spans="1:96" s="253" customFormat="1" ht="12.75" customHeight="1">
      <c r="A63" s="248" t="s">
        <v>51</v>
      </c>
      <c r="B63" s="249">
        <v>2.4118</v>
      </c>
      <c r="C63" s="249">
        <v>2.7881</v>
      </c>
      <c r="D63" s="249">
        <v>3.4919000000000002</v>
      </c>
      <c r="E63" s="249">
        <v>4.1117</v>
      </c>
      <c r="F63" s="249">
        <v>3.9663</v>
      </c>
      <c r="G63" s="249">
        <v>3.6771000000000003</v>
      </c>
      <c r="H63" s="250">
        <v>3.3817</v>
      </c>
      <c r="I63" s="250">
        <v>3.6102</v>
      </c>
      <c r="J63" s="251">
        <v>3.9859999999999998</v>
      </c>
      <c r="K63" s="251">
        <v>4.2296</v>
      </c>
      <c r="L63" s="252">
        <v>4.2848</v>
      </c>
      <c r="M63" s="252">
        <v>4.2549</v>
      </c>
      <c r="N63" s="252">
        <v>4.215</v>
      </c>
      <c r="O63" s="252">
        <v>4.1141</v>
      </c>
      <c r="P63" s="252">
        <v>4.0744</v>
      </c>
      <c r="Q63" s="252">
        <v>4.1208</v>
      </c>
      <c r="R63" s="252">
        <v>4.2341</v>
      </c>
      <c r="S63" s="252">
        <v>4.2403</v>
      </c>
      <c r="T63" s="252">
        <v>4.2228</v>
      </c>
      <c r="U63" s="252">
        <v>4.3533</v>
      </c>
      <c r="V63" s="252">
        <v>4.3243</v>
      </c>
      <c r="W63" s="252">
        <v>4.3539</v>
      </c>
      <c r="X63" s="252">
        <v>4.3197</v>
      </c>
      <c r="Y63" s="252">
        <v>4.3433</v>
      </c>
      <c r="Z63" s="252">
        <v>4.3486</v>
      </c>
      <c r="AA63" s="252">
        <v>4.3791</v>
      </c>
      <c r="AB63" s="252">
        <v>4.397</v>
      </c>
      <c r="AC63" s="252">
        <v>4.4652</v>
      </c>
      <c r="AD63" s="252">
        <v>4.4494</v>
      </c>
      <c r="AE63" s="252">
        <v>4.5694</v>
      </c>
      <c r="AF63" s="252">
        <v>4.4595</v>
      </c>
      <c r="AG63" s="252">
        <v>4.5331</v>
      </c>
      <c r="AH63" s="252">
        <v>4.5358</v>
      </c>
      <c r="AI63" s="252">
        <v>4.5059000000000005</v>
      </c>
      <c r="AJ63" s="252">
        <v>4.4287</v>
      </c>
      <c r="AK63" s="252">
        <v>4.3828</v>
      </c>
      <c r="AL63" s="252">
        <v>4.3698</v>
      </c>
      <c r="AM63" s="252">
        <v>4.4154</v>
      </c>
      <c r="AN63" s="252">
        <v>4.3237</v>
      </c>
      <c r="AO63" s="252">
        <v>4.3794</v>
      </c>
      <c r="AP63" s="252">
        <v>4.4588</v>
      </c>
      <c r="AQ63" s="252">
        <v>4.4048</v>
      </c>
      <c r="AR63" s="252">
        <v>4.4367</v>
      </c>
      <c r="AS63" s="252">
        <v>4.4604</v>
      </c>
      <c r="AT63" s="252">
        <v>4.4306</v>
      </c>
      <c r="AU63" s="252">
        <v>4.4412</v>
      </c>
      <c r="AV63" s="252">
        <v>4.4847</v>
      </c>
      <c r="AW63" s="252">
        <v>4.4978</v>
      </c>
      <c r="AX63" s="252">
        <v>4.4995</v>
      </c>
      <c r="AY63" s="252">
        <v>4.4553</v>
      </c>
      <c r="AZ63" s="252">
        <v>4.4503</v>
      </c>
      <c r="BA63" s="252">
        <v>4.3986</v>
      </c>
      <c r="BB63" s="252">
        <v>4.3870000000000005</v>
      </c>
      <c r="BC63" s="252">
        <v>4.4188</v>
      </c>
      <c r="BD63" s="252">
        <v>4.4126</v>
      </c>
      <c r="BE63" s="252">
        <v>4.4114</v>
      </c>
      <c r="BF63" s="252">
        <v>4.4139</v>
      </c>
      <c r="BG63" s="252">
        <v>4.4247</v>
      </c>
      <c r="BH63" s="252">
        <v>4.4821</v>
      </c>
      <c r="BI63" s="252">
        <v>4.4424</v>
      </c>
      <c r="BJ63" s="252">
        <v>4.4381</v>
      </c>
      <c r="BK63" s="252">
        <v>4.4098</v>
      </c>
      <c r="BL63" s="252">
        <v>4.4198</v>
      </c>
      <c r="BM63" s="252">
        <v>4.4395</v>
      </c>
      <c r="BN63" s="252">
        <v>4.4735</v>
      </c>
      <c r="BO63" s="252">
        <v>4.407</v>
      </c>
      <c r="BP63" s="252">
        <v>4.4321</v>
      </c>
      <c r="BQ63" s="252">
        <v>4.4167</v>
      </c>
      <c r="BR63" s="252">
        <v>4.4322</v>
      </c>
      <c r="BS63" s="252">
        <v>4.446</v>
      </c>
      <c r="BT63" s="252">
        <v>4.5245</v>
      </c>
      <c r="BU63" s="252">
        <v>4.5337</v>
      </c>
      <c r="BV63" s="252">
        <v>4.4692</v>
      </c>
      <c r="BW63" s="252">
        <v>4.4738</v>
      </c>
      <c r="BX63" s="252">
        <v>4.4774</v>
      </c>
      <c r="BY63" s="252">
        <v>4.5115</v>
      </c>
      <c r="BZ63" s="252">
        <v>4.521</v>
      </c>
      <c r="CA63" s="252">
        <v>4.4654</v>
      </c>
      <c r="CB63" s="252">
        <v>4.4654</v>
      </c>
      <c r="CC63" s="252">
        <v>4.4523</v>
      </c>
      <c r="CD63" s="252">
        <v>4.5057</v>
      </c>
      <c r="CE63" s="252">
        <v>4.5057</v>
      </c>
      <c r="CF63" s="252">
        <v>4.5411</v>
      </c>
      <c r="CG63" s="252">
        <v>4.5038</v>
      </c>
      <c r="CH63" s="252">
        <v>4.516</v>
      </c>
      <c r="CI63" s="252">
        <v>4.5511</v>
      </c>
      <c r="CJ63" s="252">
        <v>4.5333</v>
      </c>
      <c r="CK63" s="252">
        <v>4.5702</v>
      </c>
      <c r="CL63" s="252">
        <v>4.5539</v>
      </c>
      <c r="CM63" s="252">
        <v>4.5598</v>
      </c>
      <c r="CN63" s="252">
        <v>4.5906</v>
      </c>
      <c r="CO63" s="252">
        <v>4.5991</v>
      </c>
      <c r="CP63" s="252">
        <v>4.5985</v>
      </c>
      <c r="CQ63" s="252">
        <v>4.6422</v>
      </c>
      <c r="CR63" s="252">
        <v>4.6597</v>
      </c>
    </row>
    <row r="64" spans="1:96" s="253" customFormat="1" ht="11.25" customHeight="1">
      <c r="A64" s="248" t="s">
        <v>52</v>
      </c>
      <c r="B64" s="254">
        <v>81275</v>
      </c>
      <c r="C64" s="254">
        <v>118327</v>
      </c>
      <c r="D64" s="254">
        <v>152630</v>
      </c>
      <c r="E64" s="254">
        <v>198761</v>
      </c>
      <c r="F64" s="254">
        <v>248748</v>
      </c>
      <c r="G64" s="254">
        <v>290489</v>
      </c>
      <c r="H64" s="255">
        <v>347004</v>
      </c>
      <c r="I64" s="255">
        <v>418258</v>
      </c>
      <c r="J64" s="255">
        <v>524388.7</v>
      </c>
      <c r="K64" s="255">
        <v>510522.8</v>
      </c>
      <c r="L64" s="256">
        <v>533881</v>
      </c>
      <c r="M64" s="257">
        <v>563100</v>
      </c>
      <c r="N64" s="257">
        <v>563100</v>
      </c>
      <c r="O64" s="257">
        <v>563100</v>
      </c>
      <c r="P64" s="257">
        <v>563100</v>
      </c>
      <c r="Q64" s="257">
        <v>563100</v>
      </c>
      <c r="R64" s="257">
        <v>563100</v>
      </c>
      <c r="S64" s="257">
        <v>563100</v>
      </c>
      <c r="T64" s="257">
        <v>563100</v>
      </c>
      <c r="U64" s="257">
        <v>563100</v>
      </c>
      <c r="V64" s="257">
        <v>563100</v>
      </c>
      <c r="W64" s="257">
        <v>563100</v>
      </c>
      <c r="X64" s="257">
        <v>565097</v>
      </c>
      <c r="Y64" s="257">
        <v>585200</v>
      </c>
      <c r="Z64" s="257">
        <v>585200</v>
      </c>
      <c r="AA64" s="257">
        <v>585200</v>
      </c>
      <c r="AB64" s="257">
        <v>585200</v>
      </c>
      <c r="AC64" s="257">
        <v>585200</v>
      </c>
      <c r="AD64" s="257">
        <v>585200</v>
      </c>
      <c r="AE64" s="257">
        <v>585200</v>
      </c>
      <c r="AF64" s="257">
        <v>585200</v>
      </c>
      <c r="AG64" s="257">
        <v>585200</v>
      </c>
      <c r="AH64" s="257">
        <v>585200</v>
      </c>
      <c r="AI64" s="257">
        <v>585200</v>
      </c>
      <c r="AJ64" s="257">
        <v>595367</v>
      </c>
      <c r="AK64" s="257">
        <v>623300</v>
      </c>
      <c r="AL64" s="257">
        <v>623300</v>
      </c>
      <c r="AM64" s="257">
        <v>623300</v>
      </c>
      <c r="AN64" s="257">
        <v>623300</v>
      </c>
      <c r="AO64" s="257">
        <v>623300</v>
      </c>
      <c r="AP64" s="257">
        <v>626200</v>
      </c>
      <c r="AQ64" s="257">
        <v>626200</v>
      </c>
      <c r="AR64" s="257">
        <v>626200</v>
      </c>
      <c r="AS64" s="257">
        <v>625600</v>
      </c>
      <c r="AT64" s="257">
        <v>625600</v>
      </c>
      <c r="AU64" s="257">
        <v>625600</v>
      </c>
      <c r="AV64" s="257">
        <v>637456</v>
      </c>
      <c r="AW64" s="257">
        <v>669509.2</v>
      </c>
      <c r="AX64" s="257">
        <v>669509.2</v>
      </c>
      <c r="AY64" s="257">
        <v>669509.2</v>
      </c>
      <c r="AZ64" s="257">
        <v>669509.2</v>
      </c>
      <c r="BA64" s="257">
        <v>669509.2</v>
      </c>
      <c r="BB64" s="257">
        <v>669509.2</v>
      </c>
      <c r="BC64" s="257">
        <v>669509.2</v>
      </c>
      <c r="BD64" s="257">
        <v>669509.2</v>
      </c>
      <c r="BE64" s="257">
        <v>669509.2</v>
      </c>
      <c r="BF64" s="257">
        <v>669509.2</v>
      </c>
      <c r="BG64" s="257">
        <v>669509.2</v>
      </c>
      <c r="BH64" s="257">
        <v>668144</v>
      </c>
      <c r="BI64" s="257">
        <v>710266.6</v>
      </c>
      <c r="BJ64" s="257">
        <v>710266.6</v>
      </c>
      <c r="BK64" s="257">
        <v>710266.6</v>
      </c>
      <c r="BL64" s="257">
        <v>710266.6</v>
      </c>
      <c r="BM64" s="257">
        <v>710266.6</v>
      </c>
      <c r="BN64" s="257">
        <v>710266.6</v>
      </c>
      <c r="BO64" s="257">
        <v>710266.6</v>
      </c>
      <c r="BP64" s="257">
        <v>710266.6</v>
      </c>
      <c r="BQ64" s="257">
        <v>710266.6</v>
      </c>
      <c r="BR64" s="257">
        <v>710266.6</v>
      </c>
      <c r="BS64" s="257">
        <v>710266.6</v>
      </c>
      <c r="BT64" s="257">
        <v>712659</v>
      </c>
      <c r="BU64" s="257">
        <v>759227.8</v>
      </c>
      <c r="BV64" s="257">
        <v>759227.8</v>
      </c>
      <c r="BW64" s="257">
        <v>759227.8</v>
      </c>
      <c r="BX64" s="257">
        <v>759227.8</v>
      </c>
      <c r="BY64" s="257">
        <v>759227.8</v>
      </c>
      <c r="BZ64" s="257">
        <v>759227.8</v>
      </c>
      <c r="CA64" s="257">
        <v>759227.8</v>
      </c>
      <c r="CB64" s="257">
        <v>759227.8</v>
      </c>
      <c r="CC64" s="257">
        <v>759227.8</v>
      </c>
      <c r="CD64" s="257">
        <v>759227.8</v>
      </c>
      <c r="CE64" s="257">
        <v>759227.8</v>
      </c>
      <c r="CF64" s="257">
        <v>762300</v>
      </c>
      <c r="CG64" s="257">
        <v>853200</v>
      </c>
      <c r="CH64" s="257">
        <v>853200</v>
      </c>
      <c r="CI64" s="257">
        <v>853200</v>
      </c>
      <c r="CJ64" s="257">
        <v>853200</v>
      </c>
      <c r="CK64" s="257">
        <v>853200</v>
      </c>
      <c r="CL64" s="257">
        <v>853200</v>
      </c>
      <c r="CM64" s="257">
        <v>853200</v>
      </c>
      <c r="CN64" s="257">
        <v>853200</v>
      </c>
      <c r="CO64" s="257">
        <v>853200</v>
      </c>
      <c r="CP64" s="257">
        <v>853200</v>
      </c>
      <c r="CQ64" s="257">
        <v>853200</v>
      </c>
      <c r="CR64" s="257">
        <v>853200</v>
      </c>
    </row>
    <row r="65" spans="1:95" s="253" customFormat="1" ht="16.5" customHeight="1">
      <c r="A65" s="258" t="s">
        <v>53</v>
      </c>
      <c r="B65" s="259"/>
      <c r="C65" s="259"/>
      <c r="D65" s="259"/>
      <c r="E65" s="259"/>
      <c r="F65" s="259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260"/>
      <c r="U65" s="260"/>
      <c r="V65" s="260"/>
      <c r="W65" s="260"/>
      <c r="X65" s="260"/>
      <c r="Y65" s="260"/>
      <c r="Z65" s="260"/>
      <c r="AA65" s="260"/>
      <c r="AB65" s="260"/>
      <c r="AC65" s="260"/>
      <c r="AD65" s="260"/>
      <c r="AE65" s="260"/>
      <c r="AF65" s="260"/>
      <c r="AG65" s="260"/>
      <c r="AH65" s="260"/>
      <c r="AI65" s="260"/>
      <c r="AJ65" s="260"/>
      <c r="AK65" s="260"/>
      <c r="AL65" s="260"/>
      <c r="AM65" s="260"/>
      <c r="AN65" s="260"/>
      <c r="AO65" s="260"/>
      <c r="AP65" s="260"/>
      <c r="AQ65" s="260"/>
      <c r="AR65" s="260"/>
      <c r="AS65" s="260"/>
      <c r="AT65" s="260"/>
      <c r="AU65" s="260"/>
      <c r="AV65" s="260"/>
      <c r="AW65" s="260"/>
      <c r="AX65" s="260"/>
      <c r="AY65" s="260"/>
      <c r="AZ65" s="260"/>
      <c r="BA65" s="260"/>
      <c r="BB65" s="260"/>
      <c r="BC65" s="260"/>
      <c r="BD65" s="260"/>
      <c r="BE65" s="260"/>
      <c r="BF65" s="260"/>
      <c r="BG65" s="260"/>
      <c r="BH65" s="260"/>
      <c r="BI65" s="260"/>
      <c r="BJ65" s="260"/>
      <c r="BK65" s="260"/>
      <c r="BL65" s="260"/>
      <c r="BM65" s="260"/>
      <c r="BN65" s="260"/>
      <c r="BO65" s="260"/>
      <c r="BP65" s="260"/>
      <c r="BQ65" s="260"/>
      <c r="BR65" s="260"/>
      <c r="BS65" s="260"/>
      <c r="BT65" s="260"/>
      <c r="BU65" s="260"/>
      <c r="BV65" s="261"/>
      <c r="BW65" s="261"/>
      <c r="BX65" s="261"/>
      <c r="BY65" s="261"/>
      <c r="BZ65" s="261"/>
      <c r="CA65" s="261"/>
      <c r="CB65" s="261"/>
      <c r="CC65" s="261"/>
      <c r="CD65" s="261"/>
      <c r="CE65" s="261"/>
      <c r="CF65" s="261"/>
      <c r="CG65" s="261"/>
      <c r="CH65" s="261"/>
      <c r="CI65" s="261"/>
      <c r="CJ65" s="261"/>
      <c r="CK65" s="261"/>
      <c r="CL65" s="261"/>
      <c r="CQ65" s="261"/>
    </row>
    <row r="66" spans="1:95" s="253" customFormat="1" ht="16.5" customHeight="1">
      <c r="A66" s="303" t="s">
        <v>57</v>
      </c>
      <c r="B66" s="303"/>
      <c r="C66" s="303"/>
      <c r="D66" s="303"/>
      <c r="E66" s="303"/>
      <c r="BV66" s="262"/>
      <c r="BW66" s="262"/>
      <c r="BX66" s="262"/>
      <c r="BY66" s="262"/>
      <c r="BZ66" s="262"/>
      <c r="CA66" s="262"/>
      <c r="CB66" s="262"/>
      <c r="CC66" s="262"/>
      <c r="CD66" s="262"/>
      <c r="CE66" s="262"/>
      <c r="CF66" s="262"/>
      <c r="CG66" s="262"/>
      <c r="CH66" s="262"/>
      <c r="CI66" s="262"/>
      <c r="CJ66" s="262"/>
      <c r="CK66" s="262"/>
      <c r="CL66" s="262"/>
      <c r="CQ66" s="261"/>
    </row>
    <row r="67" spans="1:85" ht="16.5" customHeight="1">
      <c r="A67" s="150"/>
      <c r="I67" s="1"/>
      <c r="K67" s="1"/>
      <c r="Q67" s="1"/>
      <c r="V67" s="1"/>
      <c r="AV67" s="1"/>
      <c r="BT67" s="1"/>
      <c r="BU67" s="1"/>
      <c r="CG67" s="153"/>
    </row>
    <row r="68" ht="15" customHeight="1"/>
    <row r="71" ht="16.5" customHeight="1">
      <c r="I71" s="165"/>
    </row>
    <row r="72" ht="16.5" customHeight="1">
      <c r="I72" s="161"/>
    </row>
  </sheetData>
  <sheetProtection selectLockedCells="1" selectUnlockedCells="1"/>
  <mergeCells count="1">
    <mergeCell ref="A66:E66"/>
  </mergeCells>
  <printOptions horizontalCentered="1"/>
  <pageMargins left="0.8267716535433072" right="0" top="1.4566929133858268" bottom="0" header="0.2362204724409449" footer="0.5118110236220472"/>
  <pageSetup horizontalDpi="600" verticalDpi="600" orientation="landscape" paperSize="9" scale="70" r:id="rId3"/>
  <headerFooter alignWithMargins="0">
    <oddHeader>&amp;CDatoria publica*)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7"/>
  <sheetViews>
    <sheetView tabSelected="1" view="pageBreakPreview" zoomScaleNormal="75" zoomScaleSheetLayoutView="100" zoomScalePageLayoutView="0" workbookViewId="0" topLeftCell="A44">
      <pane xSplit="1" topLeftCell="J1" activePane="topRight" state="frozen"/>
      <selection pane="topLeft" activeCell="A1" sqref="A1"/>
      <selection pane="topRight" activeCell="K64" sqref="K64"/>
    </sheetView>
  </sheetViews>
  <sheetFormatPr defaultColWidth="9.6640625" defaultRowHeight="16.5" customHeight="1"/>
  <cols>
    <col min="1" max="1" width="33.21484375" style="1" customWidth="1"/>
    <col min="2" max="2" width="8.6640625" style="1" customWidth="1"/>
    <col min="3" max="3" width="8.4453125" style="1" customWidth="1"/>
    <col min="4" max="4" width="8.21484375" style="1" customWidth="1"/>
    <col min="5" max="5" width="8.6640625" style="1" customWidth="1"/>
    <col min="6" max="6" width="8.99609375" style="1" customWidth="1"/>
    <col min="7" max="7" width="8.5546875" style="1" customWidth="1"/>
    <col min="8" max="8" width="8.6640625" style="1" customWidth="1"/>
    <col min="9" max="9" width="9.3359375" style="163" customWidth="1"/>
    <col min="10" max="10" width="10.10546875" style="1" customWidth="1"/>
    <col min="11" max="11" width="10.3359375" style="163" customWidth="1"/>
    <col min="12" max="12" width="9.3359375" style="1" customWidth="1"/>
    <col min="13" max="13" width="9.21484375" style="1" customWidth="1"/>
    <col min="14" max="14" width="9.88671875" style="1" customWidth="1"/>
    <col min="15" max="15" width="10.77734375" style="163" customWidth="1"/>
    <col min="16" max="16" width="11.21484375" style="1" customWidth="1"/>
    <col min="17" max="17" width="10.10546875" style="163" bestFit="1" customWidth="1"/>
    <col min="18" max="18" width="10.4453125" style="153" customWidth="1"/>
    <col min="19" max="19" width="10.10546875" style="1" bestFit="1" customWidth="1"/>
    <col min="20" max="21" width="9.6640625" style="1" customWidth="1"/>
    <col min="22" max="24" width="10.21484375" style="1" bestFit="1" customWidth="1"/>
    <col min="25" max="16384" width="9.6640625" style="1" customWidth="1"/>
  </cols>
  <sheetData>
    <row r="1" spans="1:25" ht="16.5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167"/>
      <c r="M1" s="167"/>
      <c r="N1" s="167"/>
      <c r="O1" s="167"/>
      <c r="P1" s="167"/>
      <c r="Q1" s="196">
        <v>42656.49243010277</v>
      </c>
      <c r="R1" s="196">
        <v>46772.103675320956</v>
      </c>
      <c r="W1" s="152"/>
      <c r="Y1" s="152" t="s">
        <v>54</v>
      </c>
    </row>
    <row r="2" spans="1:25" ht="36.75" customHeight="1" thickBot="1">
      <c r="A2" s="182" t="s">
        <v>0</v>
      </c>
      <c r="B2" s="179">
        <v>2000</v>
      </c>
      <c r="C2" s="171">
        <v>2001</v>
      </c>
      <c r="D2" s="171">
        <v>2002</v>
      </c>
      <c r="E2" s="171">
        <v>2003</v>
      </c>
      <c r="F2" s="171">
        <v>2004</v>
      </c>
      <c r="G2" s="171">
        <v>2005</v>
      </c>
      <c r="H2" s="171">
        <v>2006</v>
      </c>
      <c r="I2" s="171">
        <v>2007</v>
      </c>
      <c r="J2" s="171">
        <v>2008</v>
      </c>
      <c r="K2" s="171">
        <v>2009</v>
      </c>
      <c r="L2" s="172">
        <v>2010</v>
      </c>
      <c r="M2" s="172">
        <v>2011</v>
      </c>
      <c r="N2" s="172">
        <v>2012</v>
      </c>
      <c r="O2" s="172">
        <v>2013</v>
      </c>
      <c r="P2" s="172">
        <v>2014</v>
      </c>
      <c r="Q2" s="172">
        <v>2015</v>
      </c>
      <c r="R2" s="172">
        <v>2016</v>
      </c>
      <c r="S2" s="172">
        <v>2017</v>
      </c>
      <c r="T2" s="174">
        <v>43131</v>
      </c>
      <c r="U2" s="287">
        <v>43159</v>
      </c>
      <c r="V2" s="287">
        <v>43190</v>
      </c>
      <c r="W2" s="287">
        <v>43220</v>
      </c>
      <c r="X2" s="287">
        <v>43251</v>
      </c>
      <c r="Y2" s="287">
        <v>43281</v>
      </c>
    </row>
    <row r="3" spans="1:25" ht="27.75" customHeight="1" thickBot="1">
      <c r="A3" s="183" t="s">
        <v>1</v>
      </c>
      <c r="B3" s="180">
        <v>25288.80802</v>
      </c>
      <c r="C3" s="176">
        <v>33817.842</v>
      </c>
      <c r="D3" s="176">
        <v>43867.39546</v>
      </c>
      <c r="E3" s="176">
        <v>51363.20874999999</v>
      </c>
      <c r="F3" s="176">
        <v>55819.68415</v>
      </c>
      <c r="G3" s="176">
        <v>59010.94912</v>
      </c>
      <c r="H3" s="176">
        <v>63340.806710000004</v>
      </c>
      <c r="I3" s="176">
        <v>82324.33</v>
      </c>
      <c r="J3" s="176">
        <v>109795.09999999999</v>
      </c>
      <c r="K3" s="176">
        <v>147329</v>
      </c>
      <c r="L3" s="176">
        <v>194459.225216</v>
      </c>
      <c r="M3" s="176">
        <v>223268</v>
      </c>
      <c r="N3" s="176">
        <v>240842.6</v>
      </c>
      <c r="O3" s="176">
        <v>267150.89999999997</v>
      </c>
      <c r="P3" s="176">
        <v>295655.5</v>
      </c>
      <c r="Q3" s="176">
        <v>315933.69999999995</v>
      </c>
      <c r="R3" s="176">
        <v>339080.2</v>
      </c>
      <c r="S3" s="176">
        <v>368448.9</v>
      </c>
      <c r="T3" s="176">
        <v>352956.10000000003</v>
      </c>
      <c r="U3" s="288">
        <v>372707.4</v>
      </c>
      <c r="V3" s="288">
        <v>366035.3</v>
      </c>
      <c r="W3" s="288">
        <v>367756.65</v>
      </c>
      <c r="X3" s="288">
        <v>368594.19999999995</v>
      </c>
      <c r="Y3" s="288">
        <v>372811.8</v>
      </c>
    </row>
    <row r="4" spans="1:25" ht="27.75" customHeight="1" thickBot="1">
      <c r="A4" s="183" t="s">
        <v>56</v>
      </c>
      <c r="B4" s="181">
        <v>0.3111511291294986</v>
      </c>
      <c r="C4" s="177">
        <v>0.28579987661311446</v>
      </c>
      <c r="D4" s="177">
        <v>0.2874100469108301</v>
      </c>
      <c r="E4" s="177">
        <v>0.2584169366726872</v>
      </c>
      <c r="F4" s="177">
        <v>0.2244025445430717</v>
      </c>
      <c r="G4" s="177">
        <v>0.20314348949529928</v>
      </c>
      <c r="H4" s="177">
        <v>0.18253624370324262</v>
      </c>
      <c r="I4" s="177">
        <v>0.19190759920648798</v>
      </c>
      <c r="J4" s="177">
        <v>0.20406114673357492</v>
      </c>
      <c r="K4" s="177">
        <v>0.27990956501914144</v>
      </c>
      <c r="L4" s="177">
        <v>0.367164677612797</v>
      </c>
      <c r="M4" s="177">
        <v>0.3972301988036907</v>
      </c>
      <c r="N4" s="177">
        <v>0.40452796342424086</v>
      </c>
      <c r="O4" s="177">
        <v>0.4190891606636379</v>
      </c>
      <c r="P4" s="177">
        <v>0.44250266409636246</v>
      </c>
      <c r="Q4" s="177">
        <v>0.44331678965676424</v>
      </c>
      <c r="R4" s="177">
        <v>0.4447876267574466</v>
      </c>
      <c r="S4" s="177">
        <v>0.4290775591009666</v>
      </c>
      <c r="T4" s="177">
        <v>0.37349851851851856</v>
      </c>
      <c r="U4" s="289">
        <v>0.3943993650793651</v>
      </c>
      <c r="V4" s="289">
        <v>0.3873389417989418</v>
      </c>
      <c r="W4" s="289">
        <v>0.3891604761904762</v>
      </c>
      <c r="X4" s="289">
        <v>0.39004677248677244</v>
      </c>
      <c r="Y4" s="289">
        <v>0.39450984126984123</v>
      </c>
    </row>
    <row r="5" spans="1:25" ht="21" customHeight="1">
      <c r="A5" s="184" t="s">
        <v>2</v>
      </c>
      <c r="B5" s="27">
        <v>25285.50802</v>
      </c>
      <c r="C5" s="28">
        <v>33776.441999999995</v>
      </c>
      <c r="D5" s="27">
        <v>43793.79546</v>
      </c>
      <c r="E5" s="28">
        <v>51136.60874999999</v>
      </c>
      <c r="F5" s="28">
        <v>55147.28415</v>
      </c>
      <c r="G5" s="28">
        <v>56381.84912</v>
      </c>
      <c r="H5" s="28">
        <v>59868.50671</v>
      </c>
      <c r="I5" s="28">
        <v>76149.63</v>
      </c>
      <c r="J5" s="28">
        <v>100556.4</v>
      </c>
      <c r="K5" s="28">
        <v>136493.8</v>
      </c>
      <c r="L5" s="29">
        <v>182510.3</v>
      </c>
      <c r="M5" s="28">
        <v>210388.6</v>
      </c>
      <c r="N5" s="28">
        <v>226841.9</v>
      </c>
      <c r="O5" s="28">
        <v>252179.8</v>
      </c>
      <c r="P5" s="274">
        <v>280763.8</v>
      </c>
      <c r="Q5" s="274">
        <v>299142.6</v>
      </c>
      <c r="R5" s="274">
        <v>323039.3</v>
      </c>
      <c r="S5" s="274">
        <v>353015.9</v>
      </c>
      <c r="T5" s="291">
        <v>337601.7</v>
      </c>
      <c r="U5" s="169">
        <v>357455</v>
      </c>
      <c r="V5" s="169">
        <v>350874.7</v>
      </c>
      <c r="W5" s="169">
        <v>352000.15</v>
      </c>
      <c r="X5" s="169">
        <v>353484.1</v>
      </c>
      <c r="Y5" s="169">
        <v>357744.39999999997</v>
      </c>
    </row>
    <row r="6" spans="1:25" ht="16.5" customHeight="1">
      <c r="A6" s="185" t="s">
        <v>3</v>
      </c>
      <c r="B6" s="170">
        <v>0.3111105262380806</v>
      </c>
      <c r="C6" s="36">
        <v>0.28544999873232646</v>
      </c>
      <c r="D6" s="36">
        <v>0.2869278350258796</v>
      </c>
      <c r="E6" s="36">
        <v>0.2572768739843329</v>
      </c>
      <c r="F6" s="36">
        <v>0.22169940723141493</v>
      </c>
      <c r="G6" s="36">
        <v>0.1940928886119612</v>
      </c>
      <c r="H6" s="36">
        <v>0.1725297308100195</v>
      </c>
      <c r="I6" s="36">
        <v>0.17751365451455667</v>
      </c>
      <c r="J6" s="36">
        <v>0.18689043769166433</v>
      </c>
      <c r="K6" s="36">
        <v>0.2593238275275722</v>
      </c>
      <c r="L6" s="36">
        <v>0.34460353005150823</v>
      </c>
      <c r="M6" s="36">
        <v>0.374315644893268</v>
      </c>
      <c r="N6" s="37">
        <v>0.3810118800672526</v>
      </c>
      <c r="O6" s="37">
        <v>0.39560346125850254</v>
      </c>
      <c r="P6" s="275">
        <v>0.42021450465767857</v>
      </c>
      <c r="Q6" s="275">
        <v>0.41975559138381746</v>
      </c>
      <c r="R6" s="275">
        <v>0.42374601523883376</v>
      </c>
      <c r="S6" s="275">
        <v>0.4111050425061139</v>
      </c>
      <c r="T6" s="292">
        <v>0.35725047619047623</v>
      </c>
      <c r="U6" s="44">
        <v>0.37825925925925924</v>
      </c>
      <c r="V6" s="44">
        <v>0.37129597883597887</v>
      </c>
      <c r="W6" s="44">
        <v>0.3724869312169312</v>
      </c>
      <c r="X6" s="44">
        <v>0.37405724867724865</v>
      </c>
      <c r="Y6" s="44">
        <v>0.3785655026455026</v>
      </c>
    </row>
    <row r="7" spans="1:25" ht="16.5" customHeight="1">
      <c r="A7" s="186" t="s">
        <v>4</v>
      </c>
      <c r="B7" s="46">
        <v>25285.50802</v>
      </c>
      <c r="C7" s="47">
        <v>33776.441999999995</v>
      </c>
      <c r="D7" s="46">
        <v>43793.79546</v>
      </c>
      <c r="E7" s="47">
        <v>51136.60874999999</v>
      </c>
      <c r="F7" s="47">
        <v>55147.28415</v>
      </c>
      <c r="G7" s="47">
        <v>56381.84912</v>
      </c>
      <c r="H7" s="47">
        <v>59868.50671</v>
      </c>
      <c r="I7" s="47">
        <v>76149.63</v>
      </c>
      <c r="J7" s="47">
        <v>100556.4</v>
      </c>
      <c r="K7" s="47">
        <v>136493.8</v>
      </c>
      <c r="L7" s="48">
        <v>182510.3</v>
      </c>
      <c r="M7" s="47">
        <v>210388.6</v>
      </c>
      <c r="N7" s="47">
        <v>226841.9</v>
      </c>
      <c r="O7" s="47">
        <v>252179.8</v>
      </c>
      <c r="P7" s="276">
        <v>280763.8</v>
      </c>
      <c r="Q7" s="276">
        <v>299142.6</v>
      </c>
      <c r="R7" s="276">
        <v>323039.3</v>
      </c>
      <c r="S7" s="276">
        <v>353015.9</v>
      </c>
      <c r="T7" s="293">
        <v>337601.7</v>
      </c>
      <c r="U7" s="51">
        <v>357455</v>
      </c>
      <c r="V7" s="51">
        <v>350874.7</v>
      </c>
      <c r="W7" s="51">
        <v>352000.15</v>
      </c>
      <c r="X7" s="51">
        <v>353484.1</v>
      </c>
      <c r="Y7" s="51">
        <v>357744.39999999997</v>
      </c>
    </row>
    <row r="8" spans="1:25" ht="16.5" customHeight="1">
      <c r="A8" s="187" t="s">
        <v>5</v>
      </c>
      <c r="B8" s="53">
        <v>20203.10544</v>
      </c>
      <c r="C8" s="54">
        <v>26499.63325</v>
      </c>
      <c r="D8" s="55">
        <v>33977.87977</v>
      </c>
      <c r="E8" s="56">
        <v>41138.412979999994</v>
      </c>
      <c r="F8" s="57">
        <v>42643.1492</v>
      </c>
      <c r="G8" s="58">
        <v>43192.10891</v>
      </c>
      <c r="H8" s="57">
        <v>50205.0109</v>
      </c>
      <c r="I8" s="57">
        <v>67140.97</v>
      </c>
      <c r="J8" s="58">
        <v>91942</v>
      </c>
      <c r="K8" s="58">
        <v>126571.7</v>
      </c>
      <c r="L8" s="59">
        <v>167632.5</v>
      </c>
      <c r="M8" s="60">
        <v>199284.6</v>
      </c>
      <c r="N8" s="60">
        <v>213731</v>
      </c>
      <c r="O8" s="60">
        <v>237972</v>
      </c>
      <c r="P8" s="277">
        <v>265448.5</v>
      </c>
      <c r="Q8" s="277">
        <v>283579.5</v>
      </c>
      <c r="R8" s="277">
        <v>306440.5</v>
      </c>
      <c r="S8" s="277">
        <v>335543.2</v>
      </c>
      <c r="T8" s="294">
        <v>320048.3</v>
      </c>
      <c r="U8" s="69">
        <v>339927</v>
      </c>
      <c r="V8" s="69">
        <v>333303.8</v>
      </c>
      <c r="W8" s="69">
        <v>334313.25</v>
      </c>
      <c r="X8" s="69">
        <v>335634.1</v>
      </c>
      <c r="Y8" s="69">
        <v>339865.8</v>
      </c>
    </row>
    <row r="9" spans="1:25" ht="16.5" customHeight="1">
      <c r="A9" s="187" t="s">
        <v>6</v>
      </c>
      <c r="B9" s="53">
        <v>5082.40258</v>
      </c>
      <c r="C9" s="54">
        <v>7276.80875</v>
      </c>
      <c r="D9" s="55">
        <v>9815.91569</v>
      </c>
      <c r="E9" s="56">
        <v>9998.195769999998</v>
      </c>
      <c r="F9" s="57">
        <v>12504.13495</v>
      </c>
      <c r="G9" s="58">
        <v>13189.74021</v>
      </c>
      <c r="H9" s="57">
        <v>9663.49581</v>
      </c>
      <c r="I9" s="57">
        <v>9008.66</v>
      </c>
      <c r="J9" s="58">
        <v>8614.4</v>
      </c>
      <c r="K9" s="58">
        <v>9922.1</v>
      </c>
      <c r="L9" s="59">
        <v>14877.8</v>
      </c>
      <c r="M9" s="60">
        <v>11104</v>
      </c>
      <c r="N9" s="60">
        <v>13110.9</v>
      </c>
      <c r="O9" s="60">
        <v>14207.8</v>
      </c>
      <c r="P9" s="278">
        <v>15315.3</v>
      </c>
      <c r="Q9" s="278">
        <v>15563.1</v>
      </c>
      <c r="R9" s="278">
        <v>16598.8</v>
      </c>
      <c r="S9" s="278">
        <v>17472.7</v>
      </c>
      <c r="T9" s="295">
        <v>17553.4</v>
      </c>
      <c r="U9" s="70">
        <v>17528</v>
      </c>
      <c r="V9" s="70">
        <v>17570.9</v>
      </c>
      <c r="W9" s="70">
        <v>17686.9</v>
      </c>
      <c r="X9" s="70">
        <v>17850</v>
      </c>
      <c r="Y9" s="70">
        <v>17878.6</v>
      </c>
    </row>
    <row r="10" spans="1:25" ht="16.5" customHeight="1">
      <c r="A10" s="186" t="s">
        <v>7</v>
      </c>
      <c r="B10" s="71">
        <v>25285.5</v>
      </c>
      <c r="C10" s="72">
        <v>33776.4</v>
      </c>
      <c r="D10" s="71">
        <v>43793.8</v>
      </c>
      <c r="E10" s="72">
        <v>51136.6</v>
      </c>
      <c r="F10" s="72">
        <v>55147.299999999996</v>
      </c>
      <c r="G10" s="72">
        <v>56381.8</v>
      </c>
      <c r="H10" s="72">
        <v>59868.5</v>
      </c>
      <c r="I10" s="72">
        <v>76149.6</v>
      </c>
      <c r="J10" s="72">
        <v>100556.4</v>
      </c>
      <c r="K10" s="72">
        <v>136493.8</v>
      </c>
      <c r="L10" s="73">
        <v>182510.3</v>
      </c>
      <c r="M10" s="72">
        <v>210388.6</v>
      </c>
      <c r="N10" s="72">
        <v>226841.89999999997</v>
      </c>
      <c r="O10" s="72">
        <v>252179.75</v>
      </c>
      <c r="P10" s="279">
        <v>280763.8</v>
      </c>
      <c r="Q10" s="279">
        <v>299142.60000000003</v>
      </c>
      <c r="R10" s="279">
        <v>323039.3</v>
      </c>
      <c r="S10" s="279">
        <v>352415.9</v>
      </c>
      <c r="T10" s="296">
        <v>337601.7</v>
      </c>
      <c r="U10" s="76">
        <v>357455</v>
      </c>
      <c r="V10" s="76">
        <v>350874.7</v>
      </c>
      <c r="W10" s="76">
        <v>352000.14999999997</v>
      </c>
      <c r="X10" s="76">
        <v>353484.1</v>
      </c>
      <c r="Y10" s="76">
        <v>357744.38</v>
      </c>
    </row>
    <row r="11" spans="1:25" ht="16.5" customHeight="1">
      <c r="A11" s="187" t="s">
        <v>8</v>
      </c>
      <c r="B11" s="53">
        <v>8783.5</v>
      </c>
      <c r="C11" s="54">
        <v>11705.8</v>
      </c>
      <c r="D11" s="55">
        <v>14921.6</v>
      </c>
      <c r="E11" s="56">
        <v>17372.3</v>
      </c>
      <c r="F11" s="57">
        <v>16851.6</v>
      </c>
      <c r="G11" s="58">
        <v>17779.9</v>
      </c>
      <c r="H11" s="57">
        <v>15774.3</v>
      </c>
      <c r="I11" s="57">
        <v>16207.6</v>
      </c>
      <c r="J11" s="58">
        <v>20533.5</v>
      </c>
      <c r="K11" s="58">
        <v>34634.1</v>
      </c>
      <c r="L11" s="59">
        <v>52719.3</v>
      </c>
      <c r="M11" s="60">
        <v>63551.4</v>
      </c>
      <c r="N11" s="60">
        <v>65786.4</v>
      </c>
      <c r="O11" s="60">
        <v>65415.4</v>
      </c>
      <c r="P11" s="278">
        <v>60926.1</v>
      </c>
      <c r="Q11" s="278">
        <v>55094.5</v>
      </c>
      <c r="R11" s="278">
        <v>52539.1</v>
      </c>
      <c r="S11" s="278">
        <v>47201.5</v>
      </c>
      <c r="T11" s="295">
        <v>47662.2</v>
      </c>
      <c r="U11" s="70">
        <v>47547.2</v>
      </c>
      <c r="V11" s="70">
        <v>41937.5</v>
      </c>
      <c r="W11" s="70">
        <v>41778.6</v>
      </c>
      <c r="X11" s="70">
        <v>41627.4</v>
      </c>
      <c r="Y11" s="70">
        <v>41492.44</v>
      </c>
    </row>
    <row r="12" spans="1:25" ht="16.5" customHeight="1">
      <c r="A12" s="187" t="s">
        <v>9</v>
      </c>
      <c r="B12" s="53">
        <v>2314.4</v>
      </c>
      <c r="C12" s="54">
        <v>2745.2</v>
      </c>
      <c r="D12" s="55">
        <v>3078.8</v>
      </c>
      <c r="E12" s="56">
        <v>2566.5</v>
      </c>
      <c r="F12" s="57">
        <v>1968.5</v>
      </c>
      <c r="G12" s="58">
        <v>1209.4</v>
      </c>
      <c r="H12" s="57">
        <v>655.4</v>
      </c>
      <c r="I12" s="57">
        <v>374</v>
      </c>
      <c r="J12" s="58">
        <v>312.9</v>
      </c>
      <c r="K12" s="58">
        <v>272.4</v>
      </c>
      <c r="L12" s="59">
        <v>287.1</v>
      </c>
      <c r="M12" s="60">
        <v>203.8</v>
      </c>
      <c r="N12" s="60">
        <v>193.2</v>
      </c>
      <c r="O12" s="60">
        <v>195.05</v>
      </c>
      <c r="P12" s="278">
        <v>184.2</v>
      </c>
      <c r="Q12" s="278">
        <v>171.9</v>
      </c>
      <c r="R12" s="278">
        <v>166.7</v>
      </c>
      <c r="S12" s="278">
        <v>144.7</v>
      </c>
      <c r="T12" s="295">
        <v>145.3</v>
      </c>
      <c r="U12" s="70">
        <v>146.4</v>
      </c>
      <c r="V12" s="70">
        <v>139.7</v>
      </c>
      <c r="W12" s="70">
        <v>138</v>
      </c>
      <c r="X12" s="70">
        <v>135.9</v>
      </c>
      <c r="Y12" s="70">
        <v>128.34</v>
      </c>
    </row>
    <row r="13" spans="1:25" ht="21.75" customHeight="1">
      <c r="A13" s="187" t="s">
        <v>10</v>
      </c>
      <c r="B13" s="77">
        <v>14187.6</v>
      </c>
      <c r="C13" s="78">
        <v>19325.4</v>
      </c>
      <c r="D13" s="77">
        <v>25793.4</v>
      </c>
      <c r="E13" s="78">
        <v>31197.8</v>
      </c>
      <c r="F13" s="78">
        <v>36327.2</v>
      </c>
      <c r="G13" s="78">
        <v>37392.5</v>
      </c>
      <c r="H13" s="78">
        <v>43438.8</v>
      </c>
      <c r="I13" s="78">
        <v>59568</v>
      </c>
      <c r="J13" s="78">
        <v>79710</v>
      </c>
      <c r="K13" s="78">
        <v>101587.3</v>
      </c>
      <c r="L13" s="59">
        <v>129503.9</v>
      </c>
      <c r="M13" s="60">
        <v>146633.4</v>
      </c>
      <c r="N13" s="60">
        <v>160862.3</v>
      </c>
      <c r="O13" s="60">
        <v>186569.3</v>
      </c>
      <c r="P13" s="280">
        <v>219653.5</v>
      </c>
      <c r="Q13" s="280">
        <v>243876.2</v>
      </c>
      <c r="R13" s="280">
        <v>270333.5</v>
      </c>
      <c r="S13" s="280">
        <v>305069.7</v>
      </c>
      <c r="T13" s="297">
        <v>289794.2</v>
      </c>
      <c r="U13" s="82">
        <v>309761.4</v>
      </c>
      <c r="V13" s="82">
        <v>308797.5</v>
      </c>
      <c r="W13" s="82">
        <v>310083.55</v>
      </c>
      <c r="X13" s="82">
        <v>311720.8</v>
      </c>
      <c r="Y13" s="82">
        <v>316123.6</v>
      </c>
    </row>
    <row r="14" spans="1:25" ht="16.5" customHeight="1">
      <c r="A14" s="188" t="s">
        <v>11</v>
      </c>
      <c r="B14" s="71">
        <v>25285.5</v>
      </c>
      <c r="C14" s="72">
        <v>33776.4</v>
      </c>
      <c r="D14" s="71">
        <v>43793.8</v>
      </c>
      <c r="E14" s="72">
        <v>51136.600000000006</v>
      </c>
      <c r="F14" s="72">
        <v>55147.299999999996</v>
      </c>
      <c r="G14" s="72">
        <v>56381.799999999996</v>
      </c>
      <c r="H14" s="72">
        <v>59868.5</v>
      </c>
      <c r="I14" s="72">
        <v>76149.59999999999</v>
      </c>
      <c r="J14" s="85">
        <v>100556.4</v>
      </c>
      <c r="K14" s="85">
        <v>136493.8</v>
      </c>
      <c r="L14" s="84">
        <v>182510.30000000002</v>
      </c>
      <c r="M14" s="85">
        <v>210388.58</v>
      </c>
      <c r="N14" s="85">
        <v>226841.9</v>
      </c>
      <c r="O14" s="85">
        <v>252179.8</v>
      </c>
      <c r="P14" s="281">
        <v>280763.8</v>
      </c>
      <c r="Q14" s="281">
        <v>299142.60000000003</v>
      </c>
      <c r="R14" s="281">
        <v>323039.3</v>
      </c>
      <c r="S14" s="281">
        <v>353015.9</v>
      </c>
      <c r="T14" s="298">
        <v>337601.7</v>
      </c>
      <c r="U14" s="88">
        <v>357455</v>
      </c>
      <c r="V14" s="88">
        <v>350874.7</v>
      </c>
      <c r="W14" s="88">
        <v>352000.20000000007</v>
      </c>
      <c r="X14" s="88">
        <v>353484.1</v>
      </c>
      <c r="Y14" s="88">
        <v>357744.38</v>
      </c>
    </row>
    <row r="15" spans="1:25" ht="21.75" customHeight="1">
      <c r="A15" s="189" t="s">
        <v>12</v>
      </c>
      <c r="B15" s="77">
        <v>3274.6000000000004</v>
      </c>
      <c r="C15" s="54">
        <v>4779.3</v>
      </c>
      <c r="D15" s="55">
        <v>5996.2</v>
      </c>
      <c r="E15" s="56">
        <v>4325.8</v>
      </c>
      <c r="F15" s="57">
        <v>6027.6</v>
      </c>
      <c r="G15" s="58">
        <v>1339</v>
      </c>
      <c r="H15" s="57">
        <v>1086</v>
      </c>
      <c r="I15" s="57">
        <v>2514.4</v>
      </c>
      <c r="J15" s="58">
        <v>8106.9</v>
      </c>
      <c r="K15" s="58">
        <v>23432.2</v>
      </c>
      <c r="L15" s="59">
        <v>32659.2</v>
      </c>
      <c r="M15" s="68">
        <v>33743.8</v>
      </c>
      <c r="N15" s="68">
        <v>27262.6</v>
      </c>
      <c r="O15" s="68">
        <v>10298.1</v>
      </c>
      <c r="P15" s="278">
        <v>10793.4</v>
      </c>
      <c r="Q15" s="278">
        <v>9176.1</v>
      </c>
      <c r="R15" s="278">
        <v>11988.5</v>
      </c>
      <c r="S15" s="278">
        <v>8428.6</v>
      </c>
      <c r="T15" s="295">
        <v>7944.2</v>
      </c>
      <c r="U15" s="70">
        <v>6743.4</v>
      </c>
      <c r="V15" s="70">
        <v>5842.6</v>
      </c>
      <c r="W15" s="70">
        <v>5041.5</v>
      </c>
      <c r="X15" s="70">
        <v>4225.2</v>
      </c>
      <c r="Y15" s="70">
        <v>3387.9</v>
      </c>
    </row>
    <row r="16" spans="1:25" ht="18.75" customHeight="1">
      <c r="A16" s="189" t="s">
        <v>13</v>
      </c>
      <c r="B16" s="77">
        <v>0</v>
      </c>
      <c r="C16" s="54">
        <v>0</v>
      </c>
      <c r="D16" s="55">
        <v>0</v>
      </c>
      <c r="E16" s="56">
        <v>0</v>
      </c>
      <c r="F16" s="57">
        <v>0</v>
      </c>
      <c r="G16" s="58">
        <v>0</v>
      </c>
      <c r="H16" s="57">
        <v>0</v>
      </c>
      <c r="I16" s="57">
        <v>0</v>
      </c>
      <c r="J16" s="58">
        <v>1825</v>
      </c>
      <c r="K16" s="58">
        <v>0</v>
      </c>
      <c r="L16" s="59">
        <v>0</v>
      </c>
      <c r="M16" s="60">
        <v>2200</v>
      </c>
      <c r="N16" s="60">
        <v>0</v>
      </c>
      <c r="O16" s="60">
        <v>0</v>
      </c>
      <c r="P16" s="278">
        <v>0</v>
      </c>
      <c r="Q16" s="278">
        <v>0</v>
      </c>
      <c r="R16" s="278">
        <v>0</v>
      </c>
      <c r="S16" s="278">
        <v>0</v>
      </c>
      <c r="T16" s="295">
        <v>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</row>
    <row r="17" spans="1:25" ht="19.5" customHeight="1">
      <c r="A17" s="189" t="s">
        <v>14</v>
      </c>
      <c r="B17" s="77">
        <v>2711.6000000000004</v>
      </c>
      <c r="C17" s="54">
        <v>2701.7</v>
      </c>
      <c r="D17" s="55">
        <v>2630</v>
      </c>
      <c r="E17" s="56">
        <v>2774.7000000000003</v>
      </c>
      <c r="F17" s="57">
        <v>2494.6</v>
      </c>
      <c r="G17" s="58">
        <v>4481.9</v>
      </c>
      <c r="H17" s="57">
        <v>3137.9</v>
      </c>
      <c r="I17" s="57">
        <v>6885.4</v>
      </c>
      <c r="J17" s="58">
        <v>9505.7</v>
      </c>
      <c r="K17" s="58">
        <v>23146.2</v>
      </c>
      <c r="L17" s="59">
        <v>34021.4</v>
      </c>
      <c r="M17" s="60">
        <v>50110</v>
      </c>
      <c r="N17" s="60">
        <v>72929.1</v>
      </c>
      <c r="O17" s="60">
        <v>98137.6</v>
      </c>
      <c r="P17" s="278">
        <v>102920.4</v>
      </c>
      <c r="Q17" s="278">
        <v>109073.3</v>
      </c>
      <c r="R17" s="278">
        <v>116630</v>
      </c>
      <c r="S17" s="278">
        <v>131343.1</v>
      </c>
      <c r="T17" s="295">
        <v>126712.5</v>
      </c>
      <c r="U17" s="70">
        <v>130673.1</v>
      </c>
      <c r="V17" s="70">
        <v>133914.6</v>
      </c>
      <c r="W17" s="70">
        <v>136588.7</v>
      </c>
      <c r="X17" s="70">
        <v>138277.4</v>
      </c>
      <c r="Y17" s="70">
        <v>141223.7</v>
      </c>
    </row>
    <row r="18" spans="1:25" ht="19.5" customHeight="1">
      <c r="A18" s="190" t="s">
        <v>15</v>
      </c>
      <c r="B18" s="77">
        <v>1521.8</v>
      </c>
      <c r="C18" s="54">
        <v>3782.9</v>
      </c>
      <c r="D18" s="55">
        <v>6110.8</v>
      </c>
      <c r="E18" s="56">
        <v>10073.7</v>
      </c>
      <c r="F18" s="57">
        <v>9717.4</v>
      </c>
      <c r="G18" s="58">
        <v>7354.2</v>
      </c>
      <c r="H18" s="57">
        <v>6763.4</v>
      </c>
      <c r="I18" s="57">
        <v>7220.4</v>
      </c>
      <c r="J18" s="58">
        <v>8569.9</v>
      </c>
      <c r="K18" s="58">
        <v>9093.6</v>
      </c>
      <c r="L18" s="59">
        <v>10497.8</v>
      </c>
      <c r="M18" s="60">
        <v>17062.84</v>
      </c>
      <c r="N18" s="60">
        <v>31912.3</v>
      </c>
      <c r="O18" s="60">
        <v>45841.9</v>
      </c>
      <c r="P18" s="278">
        <v>67140.9</v>
      </c>
      <c r="Q18" s="278">
        <v>74749.9</v>
      </c>
      <c r="R18" s="278">
        <v>83778.3</v>
      </c>
      <c r="S18" s="278">
        <v>95766.3</v>
      </c>
      <c r="T18" s="295">
        <v>94896.4</v>
      </c>
      <c r="U18" s="70">
        <v>104685.7</v>
      </c>
      <c r="V18" s="70">
        <v>104395.4</v>
      </c>
      <c r="W18" s="70">
        <v>104821.2</v>
      </c>
      <c r="X18" s="70">
        <v>105357.9</v>
      </c>
      <c r="Y18" s="70">
        <v>102640.94</v>
      </c>
    </row>
    <row r="19" spans="1:25" ht="19.5" customHeight="1">
      <c r="A19" s="189" t="s">
        <v>16</v>
      </c>
      <c r="B19" s="77">
        <v>0</v>
      </c>
      <c r="C19" s="54">
        <v>0</v>
      </c>
      <c r="D19" s="55">
        <v>0</v>
      </c>
      <c r="E19" s="56">
        <v>0</v>
      </c>
      <c r="F19" s="57">
        <v>0</v>
      </c>
      <c r="G19" s="58">
        <v>0</v>
      </c>
      <c r="H19" s="57">
        <v>0</v>
      </c>
      <c r="I19" s="57">
        <v>268.6</v>
      </c>
      <c r="J19" s="58">
        <v>243.5</v>
      </c>
      <c r="K19" s="58">
        <v>79.2</v>
      </c>
      <c r="L19" s="59">
        <v>63</v>
      </c>
      <c r="M19" s="60">
        <v>8.34</v>
      </c>
      <c r="N19" s="60">
        <v>0</v>
      </c>
      <c r="O19" s="60">
        <v>0</v>
      </c>
      <c r="P19" s="278">
        <v>0</v>
      </c>
      <c r="Q19" s="278">
        <v>0</v>
      </c>
      <c r="R19" s="278">
        <v>0</v>
      </c>
      <c r="S19" s="278">
        <v>0</v>
      </c>
      <c r="T19" s="295">
        <v>0</v>
      </c>
      <c r="U19" s="70">
        <v>0</v>
      </c>
      <c r="V19" s="70">
        <v>0</v>
      </c>
      <c r="W19" s="70">
        <v>0</v>
      </c>
      <c r="X19" s="70">
        <v>0</v>
      </c>
      <c r="Y19" s="70">
        <v>0</v>
      </c>
    </row>
    <row r="20" spans="1:25" ht="18.75" customHeight="1">
      <c r="A20" s="187" t="s">
        <v>17</v>
      </c>
      <c r="B20" s="77">
        <v>16393.5</v>
      </c>
      <c r="C20" s="78">
        <v>20870.7</v>
      </c>
      <c r="D20" s="77">
        <v>26885.4</v>
      </c>
      <c r="E20" s="78">
        <v>30348.6</v>
      </c>
      <c r="F20" s="78">
        <v>33278.2</v>
      </c>
      <c r="G20" s="78">
        <v>35162.1</v>
      </c>
      <c r="H20" s="78">
        <v>29042</v>
      </c>
      <c r="I20" s="78">
        <v>29853</v>
      </c>
      <c r="J20" s="78">
        <v>32710.7</v>
      </c>
      <c r="K20" s="78">
        <v>52608.2</v>
      </c>
      <c r="L20" s="59">
        <v>73832.2</v>
      </c>
      <c r="M20" s="60">
        <v>75418.5</v>
      </c>
      <c r="N20" s="60">
        <v>78572.3</v>
      </c>
      <c r="O20" s="60">
        <v>78746.4</v>
      </c>
      <c r="P20" s="278">
        <v>74989.5</v>
      </c>
      <c r="Q20" s="278">
        <v>70624.1</v>
      </c>
      <c r="R20" s="278">
        <v>69011.2</v>
      </c>
      <c r="S20" s="278">
        <v>65043.5</v>
      </c>
      <c r="T20" s="295">
        <v>64895.3</v>
      </c>
      <c r="U20" s="70">
        <v>64763.5</v>
      </c>
      <c r="V20" s="70">
        <v>59210.9</v>
      </c>
      <c r="W20" s="70">
        <v>59169.4</v>
      </c>
      <c r="X20" s="70">
        <v>59166.5</v>
      </c>
      <c r="Y20" s="70">
        <v>59059.64</v>
      </c>
    </row>
    <row r="21" spans="1:25" s="3" customFormat="1" ht="19.5" customHeight="1">
      <c r="A21" s="191" t="s">
        <v>18</v>
      </c>
      <c r="B21" s="92">
        <v>1384</v>
      </c>
      <c r="C21" s="93">
        <v>1641.8</v>
      </c>
      <c r="D21" s="94">
        <v>2171.4</v>
      </c>
      <c r="E21" s="95">
        <v>3613.8</v>
      </c>
      <c r="F21" s="96">
        <v>3629.5</v>
      </c>
      <c r="G21" s="97">
        <v>8044.6</v>
      </c>
      <c r="H21" s="96">
        <v>19839.2</v>
      </c>
      <c r="I21" s="96">
        <v>29407.8</v>
      </c>
      <c r="J21" s="58">
        <v>39594.7</v>
      </c>
      <c r="K21" s="58">
        <v>28134.4</v>
      </c>
      <c r="L21" s="59">
        <v>31436.7</v>
      </c>
      <c r="M21" s="81">
        <v>31845.1</v>
      </c>
      <c r="N21" s="81">
        <v>16165.6</v>
      </c>
      <c r="O21" s="81">
        <v>19155.8</v>
      </c>
      <c r="P21" s="278">
        <v>24919.6</v>
      </c>
      <c r="Q21" s="278">
        <v>35519.2</v>
      </c>
      <c r="R21" s="278">
        <v>41631.3</v>
      </c>
      <c r="S21" s="278">
        <v>52434.4</v>
      </c>
      <c r="T21" s="295">
        <v>43153.3</v>
      </c>
      <c r="U21" s="70">
        <v>50589.3</v>
      </c>
      <c r="V21" s="70">
        <v>47511.2</v>
      </c>
      <c r="W21" s="70">
        <v>46379.4</v>
      </c>
      <c r="X21" s="70">
        <v>46457.1</v>
      </c>
      <c r="Y21" s="70">
        <v>51432.2</v>
      </c>
    </row>
    <row r="22" spans="1:25" ht="16.5" customHeight="1">
      <c r="A22" s="188" t="s">
        <v>19</v>
      </c>
      <c r="B22" s="98">
        <v>25285.539999999997</v>
      </c>
      <c r="C22" s="99">
        <v>33776.359149</v>
      </c>
      <c r="D22" s="98">
        <v>43793.793999999994</v>
      </c>
      <c r="E22" s="99">
        <v>51136.57999999999</v>
      </c>
      <c r="F22" s="99">
        <v>55147.34</v>
      </c>
      <c r="G22" s="99">
        <v>56381.83</v>
      </c>
      <c r="H22" s="99">
        <v>59868.54558</v>
      </c>
      <c r="I22" s="99">
        <v>76149.63</v>
      </c>
      <c r="J22" s="99">
        <v>100556.44</v>
      </c>
      <c r="K22" s="99">
        <v>136493.84000000003</v>
      </c>
      <c r="L22" s="100">
        <v>182510.28999999998</v>
      </c>
      <c r="M22" s="99">
        <v>210388.63039999997</v>
      </c>
      <c r="N22" s="99">
        <v>226841.9</v>
      </c>
      <c r="O22" s="99">
        <v>252179.80000000002</v>
      </c>
      <c r="P22" s="282">
        <v>280763.8</v>
      </c>
      <c r="Q22" s="282">
        <v>299142.6</v>
      </c>
      <c r="R22" s="282">
        <v>323039.3</v>
      </c>
      <c r="S22" s="282">
        <v>353015.85000000003</v>
      </c>
      <c r="T22" s="299">
        <v>337601.7</v>
      </c>
      <c r="U22" s="103">
        <v>357455</v>
      </c>
      <c r="V22" s="103">
        <v>350874.70000000007</v>
      </c>
      <c r="W22" s="103">
        <v>352000.15</v>
      </c>
      <c r="X22" s="103">
        <v>353484.1</v>
      </c>
      <c r="Y22" s="103">
        <v>357744.4</v>
      </c>
    </row>
    <row r="23" spans="1:25" ht="16.5" customHeight="1">
      <c r="A23" s="190" t="s">
        <v>20</v>
      </c>
      <c r="B23" s="55">
        <v>6422.7</v>
      </c>
      <c r="C23" s="58">
        <v>7781.8</v>
      </c>
      <c r="D23" s="55">
        <v>9233.6</v>
      </c>
      <c r="E23" s="56">
        <v>9245.2</v>
      </c>
      <c r="F23" s="57">
        <v>11180.2</v>
      </c>
      <c r="G23" s="58">
        <v>12908</v>
      </c>
      <c r="H23" s="57">
        <v>24461.8</v>
      </c>
      <c r="I23" s="57">
        <v>40500.2</v>
      </c>
      <c r="J23" s="58">
        <v>60024.77</v>
      </c>
      <c r="K23" s="58">
        <v>64302</v>
      </c>
      <c r="L23" s="68">
        <v>82628.67</v>
      </c>
      <c r="M23" s="64">
        <v>101241.2</v>
      </c>
      <c r="N23" s="60">
        <v>99439.1</v>
      </c>
      <c r="O23" s="60">
        <v>111762.1</v>
      </c>
      <c r="P23" s="277">
        <v>126434.7</v>
      </c>
      <c r="Q23" s="277">
        <v>148073.45</v>
      </c>
      <c r="R23" s="277">
        <v>170139.4</v>
      </c>
      <c r="S23" s="277">
        <v>192055</v>
      </c>
      <c r="T23" s="294">
        <v>177838.1</v>
      </c>
      <c r="U23" s="69">
        <v>186872.5</v>
      </c>
      <c r="V23" s="69">
        <v>186266.1</v>
      </c>
      <c r="W23" s="69">
        <v>187149.4</v>
      </c>
      <c r="X23" s="69">
        <v>188330.6</v>
      </c>
      <c r="Y23" s="69">
        <v>195561.6</v>
      </c>
    </row>
    <row r="24" spans="1:25" ht="16.5" customHeight="1">
      <c r="A24" s="190" t="s">
        <v>21</v>
      </c>
      <c r="B24" s="53">
        <v>10945.199999999999</v>
      </c>
      <c r="C24" s="54">
        <v>14103.4</v>
      </c>
      <c r="D24" s="55">
        <v>17178.64</v>
      </c>
      <c r="E24" s="56">
        <v>16275.41</v>
      </c>
      <c r="F24" s="57">
        <v>17144.75</v>
      </c>
      <c r="G24" s="58">
        <v>17327.19</v>
      </c>
      <c r="H24" s="57">
        <v>10736.189999999999</v>
      </c>
      <c r="I24" s="57">
        <v>9307.41</v>
      </c>
      <c r="J24" s="58">
        <v>9227.51</v>
      </c>
      <c r="K24" s="58">
        <v>8629.06</v>
      </c>
      <c r="L24" s="60">
        <v>8458.15</v>
      </c>
      <c r="M24" s="64">
        <v>6091.65</v>
      </c>
      <c r="N24" s="60">
        <v>12661.8</v>
      </c>
      <c r="O24" s="60">
        <v>16269.2</v>
      </c>
      <c r="P24" s="278">
        <v>24796.2</v>
      </c>
      <c r="Q24" s="278">
        <v>26858.85</v>
      </c>
      <c r="R24" s="278">
        <v>26930.6</v>
      </c>
      <c r="S24" s="278">
        <v>23667.6</v>
      </c>
      <c r="T24" s="295">
        <v>22745.1</v>
      </c>
      <c r="U24" s="70">
        <v>23113.9</v>
      </c>
      <c r="V24" s="70">
        <v>22837.7</v>
      </c>
      <c r="W24" s="70">
        <v>23193.9</v>
      </c>
      <c r="X24" s="70">
        <v>23923</v>
      </c>
      <c r="Y24" s="70">
        <v>27976.2</v>
      </c>
    </row>
    <row r="25" spans="1:25" ht="16.5" customHeight="1">
      <c r="A25" s="190" t="s">
        <v>22</v>
      </c>
      <c r="B25" s="53">
        <v>1832.35</v>
      </c>
      <c r="C25" s="54">
        <v>657.13</v>
      </c>
      <c r="D25" s="55">
        <v>0</v>
      </c>
      <c r="E25" s="56">
        <v>0</v>
      </c>
      <c r="F25" s="57">
        <v>0</v>
      </c>
      <c r="G25" s="58">
        <v>0</v>
      </c>
      <c r="H25" s="57">
        <v>0</v>
      </c>
      <c r="I25" s="57">
        <v>0</v>
      </c>
      <c r="J25" s="58">
        <v>0</v>
      </c>
      <c r="K25" s="58">
        <v>0</v>
      </c>
      <c r="L25" s="60">
        <v>0</v>
      </c>
      <c r="M25" s="64">
        <v>0</v>
      </c>
      <c r="N25" s="60">
        <v>0</v>
      </c>
      <c r="O25" s="60">
        <v>0</v>
      </c>
      <c r="P25" s="278">
        <v>0</v>
      </c>
      <c r="Q25" s="278">
        <v>0</v>
      </c>
      <c r="R25" s="278">
        <v>0</v>
      </c>
      <c r="S25" s="278">
        <v>0</v>
      </c>
      <c r="T25" s="295">
        <v>0</v>
      </c>
      <c r="U25" s="70">
        <v>0</v>
      </c>
      <c r="V25" s="70">
        <v>0</v>
      </c>
      <c r="W25" s="70">
        <v>0</v>
      </c>
      <c r="X25" s="70">
        <v>0</v>
      </c>
      <c r="Y25" s="70">
        <v>0</v>
      </c>
    </row>
    <row r="26" spans="1:25" ht="16.5" customHeight="1">
      <c r="A26" s="190" t="s">
        <v>23</v>
      </c>
      <c r="B26" s="53">
        <v>2703</v>
      </c>
      <c r="C26" s="54">
        <v>8179.08</v>
      </c>
      <c r="D26" s="55">
        <v>14667.8</v>
      </c>
      <c r="E26" s="56">
        <v>21422.199999999997</v>
      </c>
      <c r="F26" s="57">
        <v>22851.559999999998</v>
      </c>
      <c r="G26" s="58">
        <v>21975.58</v>
      </c>
      <c r="H26" s="57">
        <v>21329.28</v>
      </c>
      <c r="I26" s="57">
        <v>23358.81</v>
      </c>
      <c r="J26" s="58">
        <v>28102.75</v>
      </c>
      <c r="K26" s="58">
        <v>56646.100000000006</v>
      </c>
      <c r="L26" s="60">
        <v>78118.8</v>
      </c>
      <c r="M26" s="64">
        <v>89349.75</v>
      </c>
      <c r="N26" s="60">
        <v>101873.7</v>
      </c>
      <c r="O26" s="60">
        <v>116459.1</v>
      </c>
      <c r="P26" s="278">
        <v>126304.5</v>
      </c>
      <c r="Q26" s="278">
        <v>121707.9</v>
      </c>
      <c r="R26" s="278">
        <v>123498.2</v>
      </c>
      <c r="S26" s="278">
        <v>135165.7</v>
      </c>
      <c r="T26" s="295">
        <v>134904.7</v>
      </c>
      <c r="U26" s="70">
        <v>145314.1</v>
      </c>
      <c r="V26" s="70">
        <v>139667.5</v>
      </c>
      <c r="W26" s="70">
        <v>139566.6</v>
      </c>
      <c r="X26" s="70">
        <v>139070.9</v>
      </c>
      <c r="Y26" s="70">
        <v>132102.9</v>
      </c>
    </row>
    <row r="27" spans="1:25" ht="16.5" customHeight="1">
      <c r="A27" s="190" t="s">
        <v>24</v>
      </c>
      <c r="B27" s="53">
        <v>1150.4</v>
      </c>
      <c r="C27" s="54">
        <v>1221.05</v>
      </c>
      <c r="D27" s="55">
        <v>1425.81</v>
      </c>
      <c r="E27" s="56">
        <v>1951.5</v>
      </c>
      <c r="F27" s="57">
        <v>1287.6</v>
      </c>
      <c r="G27" s="58">
        <v>810.9</v>
      </c>
      <c r="H27" s="57">
        <v>331.5</v>
      </c>
      <c r="I27" s="57">
        <v>35.43</v>
      </c>
      <c r="J27" s="58">
        <v>20.46</v>
      </c>
      <c r="K27" s="58">
        <v>3984.67</v>
      </c>
      <c r="L27" s="60">
        <v>9645.9</v>
      </c>
      <c r="M27" s="64">
        <v>9977</v>
      </c>
      <c r="N27" s="60">
        <v>9522.3</v>
      </c>
      <c r="O27" s="60">
        <v>5047.7</v>
      </c>
      <c r="P27" s="278">
        <v>743.6</v>
      </c>
      <c r="Q27" s="278">
        <v>14.3</v>
      </c>
      <c r="R27" s="278">
        <v>9.6</v>
      </c>
      <c r="S27" s="278">
        <v>0</v>
      </c>
      <c r="T27" s="295">
        <v>0</v>
      </c>
      <c r="U27" s="70">
        <v>0</v>
      </c>
      <c r="V27" s="70">
        <v>0</v>
      </c>
      <c r="W27" s="70">
        <v>0</v>
      </c>
      <c r="X27" s="70">
        <v>0</v>
      </c>
      <c r="Y27" s="70">
        <v>0</v>
      </c>
    </row>
    <row r="28" spans="1:25" ht="16.5" customHeight="1">
      <c r="A28" s="190" t="s">
        <v>25</v>
      </c>
      <c r="B28" s="53">
        <v>244.87</v>
      </c>
      <c r="C28" s="54">
        <v>465.187</v>
      </c>
      <c r="D28" s="55">
        <v>591.5</v>
      </c>
      <c r="E28" s="56">
        <v>598.46</v>
      </c>
      <c r="F28" s="57">
        <v>551.4</v>
      </c>
      <c r="G28" s="58">
        <v>469.29999999999995</v>
      </c>
      <c r="H28" s="57">
        <v>362.13</v>
      </c>
      <c r="I28" s="57">
        <v>327.35</v>
      </c>
      <c r="J28" s="58">
        <v>306.78</v>
      </c>
      <c r="K28" s="58">
        <v>235.54000000000002</v>
      </c>
      <c r="L28" s="60">
        <v>180.01</v>
      </c>
      <c r="M28" s="64">
        <v>138.2304</v>
      </c>
      <c r="N28" s="60">
        <v>101.2</v>
      </c>
      <c r="O28" s="60">
        <v>82.3</v>
      </c>
      <c r="P28" s="278">
        <v>65</v>
      </c>
      <c r="Q28" s="278">
        <v>51.9</v>
      </c>
      <c r="R28" s="278">
        <v>31</v>
      </c>
      <c r="S28" s="278">
        <v>17.7</v>
      </c>
      <c r="T28" s="295">
        <v>17.7</v>
      </c>
      <c r="U28" s="70">
        <v>17.7</v>
      </c>
      <c r="V28" s="70">
        <v>17.7</v>
      </c>
      <c r="W28" s="70">
        <v>17.2</v>
      </c>
      <c r="X28" s="70">
        <v>12</v>
      </c>
      <c r="Y28" s="70">
        <v>12</v>
      </c>
    </row>
    <row r="29" spans="1:25" ht="16.5" customHeight="1">
      <c r="A29" s="190" t="s">
        <v>26</v>
      </c>
      <c r="B29" s="53">
        <v>531.61</v>
      </c>
      <c r="C29" s="54">
        <v>423.86</v>
      </c>
      <c r="D29" s="55">
        <v>0</v>
      </c>
      <c r="E29" s="56">
        <v>0</v>
      </c>
      <c r="F29" s="57">
        <v>0</v>
      </c>
      <c r="G29" s="58">
        <v>0</v>
      </c>
      <c r="H29" s="57">
        <v>0</v>
      </c>
      <c r="I29" s="57">
        <v>0</v>
      </c>
      <c r="J29" s="58">
        <v>0</v>
      </c>
      <c r="K29" s="58">
        <v>0</v>
      </c>
      <c r="L29" s="60">
        <v>0</v>
      </c>
      <c r="M29" s="64">
        <v>0</v>
      </c>
      <c r="N29" s="60">
        <v>0</v>
      </c>
      <c r="O29" s="60">
        <v>0</v>
      </c>
      <c r="P29" s="278">
        <v>0</v>
      </c>
      <c r="Q29" s="278">
        <v>0</v>
      </c>
      <c r="R29" s="278">
        <v>0</v>
      </c>
      <c r="S29" s="278">
        <v>0</v>
      </c>
      <c r="T29" s="295">
        <v>0</v>
      </c>
      <c r="U29" s="70">
        <v>0</v>
      </c>
      <c r="V29" s="70">
        <v>0</v>
      </c>
      <c r="W29" s="70">
        <v>0</v>
      </c>
      <c r="X29" s="70">
        <v>0</v>
      </c>
      <c r="Y29" s="70">
        <v>0</v>
      </c>
    </row>
    <row r="30" spans="1:25" ht="16.5" customHeight="1">
      <c r="A30" s="190" t="s">
        <v>27</v>
      </c>
      <c r="B30" s="53">
        <v>0</v>
      </c>
      <c r="C30" s="54">
        <v>0</v>
      </c>
      <c r="D30" s="55">
        <v>0</v>
      </c>
      <c r="E30" s="56">
        <v>415.34</v>
      </c>
      <c r="F30" s="57">
        <v>562.8</v>
      </c>
      <c r="G30" s="58">
        <v>844.25</v>
      </c>
      <c r="H30" s="57">
        <v>802.81558</v>
      </c>
      <c r="I30" s="57">
        <v>887.3</v>
      </c>
      <c r="J30" s="58">
        <v>714.93</v>
      </c>
      <c r="K30" s="58">
        <v>623.19</v>
      </c>
      <c r="L30" s="60">
        <v>806.8</v>
      </c>
      <c r="M30" s="64">
        <v>750.8</v>
      </c>
      <c r="N30" s="60">
        <v>700.4</v>
      </c>
      <c r="O30" s="60">
        <v>567.9</v>
      </c>
      <c r="P30" s="278">
        <v>521.8</v>
      </c>
      <c r="Q30" s="278">
        <v>424.1</v>
      </c>
      <c r="R30" s="278">
        <v>383.6</v>
      </c>
      <c r="S30" s="278">
        <v>305.3</v>
      </c>
      <c r="T30" s="295">
        <v>300</v>
      </c>
      <c r="U30" s="70">
        <v>293.7</v>
      </c>
      <c r="V30" s="70">
        <v>288.8</v>
      </c>
      <c r="W30" s="70">
        <v>294.45</v>
      </c>
      <c r="X30" s="70">
        <v>304.1</v>
      </c>
      <c r="Y30" s="70">
        <v>264.5</v>
      </c>
    </row>
    <row r="31" spans="1:25" ht="13.5">
      <c r="A31" s="190" t="s">
        <v>28</v>
      </c>
      <c r="B31" s="53">
        <v>112.24</v>
      </c>
      <c r="C31" s="54">
        <v>97.3</v>
      </c>
      <c r="D31" s="55">
        <v>0</v>
      </c>
      <c r="E31" s="56">
        <v>0</v>
      </c>
      <c r="F31" s="57">
        <v>0</v>
      </c>
      <c r="G31" s="58">
        <v>0</v>
      </c>
      <c r="H31" s="57">
        <v>0</v>
      </c>
      <c r="I31" s="57">
        <v>0</v>
      </c>
      <c r="J31" s="58">
        <v>0</v>
      </c>
      <c r="K31" s="58">
        <v>0</v>
      </c>
      <c r="L31" s="60">
        <v>0</v>
      </c>
      <c r="M31" s="64">
        <v>0</v>
      </c>
      <c r="N31" s="60">
        <v>0</v>
      </c>
      <c r="O31" s="60">
        <v>0</v>
      </c>
      <c r="P31" s="278">
        <v>0</v>
      </c>
      <c r="Q31" s="278">
        <v>0</v>
      </c>
      <c r="R31" s="278">
        <v>0</v>
      </c>
      <c r="S31" s="278">
        <v>0</v>
      </c>
      <c r="T31" s="295">
        <v>0</v>
      </c>
      <c r="U31" s="70">
        <v>0</v>
      </c>
      <c r="V31" s="70">
        <v>0</v>
      </c>
      <c r="W31" s="70">
        <v>0</v>
      </c>
      <c r="X31" s="70">
        <v>0</v>
      </c>
      <c r="Y31" s="70">
        <v>0</v>
      </c>
    </row>
    <row r="32" spans="1:25" ht="16.5" customHeight="1">
      <c r="A32" s="190" t="s">
        <v>29</v>
      </c>
      <c r="B32" s="53">
        <v>959.3</v>
      </c>
      <c r="C32" s="54">
        <v>383.09</v>
      </c>
      <c r="D32" s="55">
        <v>502.33000000000004</v>
      </c>
      <c r="E32" s="56">
        <v>869.77</v>
      </c>
      <c r="F32" s="57">
        <v>987.6199999999999</v>
      </c>
      <c r="G32" s="58">
        <v>1309.27</v>
      </c>
      <c r="H32" s="57">
        <v>1279.96</v>
      </c>
      <c r="I32" s="57">
        <v>1310.51</v>
      </c>
      <c r="J32" s="58">
        <v>1913.98</v>
      </c>
      <c r="K32" s="58">
        <v>1904.8700000000001</v>
      </c>
      <c r="L32" s="60">
        <v>2542.56</v>
      </c>
      <c r="M32" s="64">
        <v>2840</v>
      </c>
      <c r="N32" s="60">
        <v>2543.4</v>
      </c>
      <c r="O32" s="60">
        <v>1991.5</v>
      </c>
      <c r="P32" s="278">
        <v>1898</v>
      </c>
      <c r="Q32" s="278">
        <v>2012.1</v>
      </c>
      <c r="R32" s="278">
        <v>2046.9</v>
      </c>
      <c r="S32" s="278">
        <v>1804.55</v>
      </c>
      <c r="T32" s="295">
        <v>1796.1</v>
      </c>
      <c r="U32" s="70">
        <v>1843.1</v>
      </c>
      <c r="V32" s="70">
        <v>1796.9</v>
      </c>
      <c r="W32" s="70">
        <v>1778.6</v>
      </c>
      <c r="X32" s="70">
        <v>1843.5</v>
      </c>
      <c r="Y32" s="70">
        <v>1827.2</v>
      </c>
    </row>
    <row r="33" spans="1:25" ht="16.5" customHeight="1">
      <c r="A33" s="190" t="s">
        <v>30</v>
      </c>
      <c r="B33" s="53">
        <v>26.6</v>
      </c>
      <c r="C33" s="54">
        <v>25.372391</v>
      </c>
      <c r="D33" s="55">
        <v>0</v>
      </c>
      <c r="E33" s="56">
        <v>0</v>
      </c>
      <c r="F33" s="57">
        <v>0</v>
      </c>
      <c r="G33" s="58">
        <v>0</v>
      </c>
      <c r="H33" s="57">
        <v>0</v>
      </c>
      <c r="I33" s="57">
        <v>0</v>
      </c>
      <c r="J33" s="58">
        <v>0</v>
      </c>
      <c r="K33" s="58">
        <v>0</v>
      </c>
      <c r="L33" s="60">
        <v>0</v>
      </c>
      <c r="M33" s="64">
        <v>0</v>
      </c>
      <c r="N33" s="60">
        <v>0</v>
      </c>
      <c r="O33" s="60">
        <v>0</v>
      </c>
      <c r="P33" s="278">
        <v>0</v>
      </c>
      <c r="Q33" s="278">
        <v>0</v>
      </c>
      <c r="R33" s="278">
        <v>0</v>
      </c>
      <c r="S33" s="278">
        <v>0</v>
      </c>
      <c r="T33" s="295">
        <v>0</v>
      </c>
      <c r="U33" s="70">
        <v>0</v>
      </c>
      <c r="V33" s="70">
        <v>0</v>
      </c>
      <c r="W33" s="70">
        <v>0</v>
      </c>
      <c r="X33" s="70">
        <v>0</v>
      </c>
      <c r="Y33" s="70">
        <v>0</v>
      </c>
    </row>
    <row r="34" spans="1:25" ht="16.5" customHeight="1">
      <c r="A34" s="190" t="s">
        <v>31</v>
      </c>
      <c r="B34" s="53">
        <v>9.7</v>
      </c>
      <c r="C34" s="54">
        <v>6.761758</v>
      </c>
      <c r="D34" s="55">
        <v>2.814</v>
      </c>
      <c r="E34" s="56">
        <v>0</v>
      </c>
      <c r="F34" s="57">
        <v>0</v>
      </c>
      <c r="G34" s="58">
        <v>0</v>
      </c>
      <c r="H34" s="57">
        <v>0</v>
      </c>
      <c r="I34" s="57">
        <v>0</v>
      </c>
      <c r="J34" s="58">
        <v>0</v>
      </c>
      <c r="K34" s="58">
        <v>0</v>
      </c>
      <c r="L34" s="60">
        <v>0</v>
      </c>
      <c r="M34" s="64">
        <v>0</v>
      </c>
      <c r="N34" s="60">
        <v>0</v>
      </c>
      <c r="O34" s="60">
        <v>0</v>
      </c>
      <c r="P34" s="278">
        <v>0</v>
      </c>
      <c r="Q34" s="278">
        <v>0</v>
      </c>
      <c r="R34" s="278">
        <v>0</v>
      </c>
      <c r="S34" s="278">
        <v>0</v>
      </c>
      <c r="T34" s="295">
        <v>0</v>
      </c>
      <c r="U34" s="70">
        <v>0</v>
      </c>
      <c r="V34" s="70">
        <v>0</v>
      </c>
      <c r="W34" s="70">
        <v>0</v>
      </c>
      <c r="X34" s="70">
        <v>0</v>
      </c>
      <c r="Y34" s="70">
        <v>0</v>
      </c>
    </row>
    <row r="35" spans="1:25" ht="16.5" customHeight="1">
      <c r="A35" s="190" t="s">
        <v>32</v>
      </c>
      <c r="B35" s="53">
        <v>125.27000000000001</v>
      </c>
      <c r="C35" s="54">
        <v>144.188</v>
      </c>
      <c r="D35" s="55">
        <v>191.3</v>
      </c>
      <c r="E35" s="56">
        <v>181.2</v>
      </c>
      <c r="F35" s="57">
        <v>179.21</v>
      </c>
      <c r="G35" s="58">
        <v>188.43</v>
      </c>
      <c r="H35" s="57">
        <v>162.19</v>
      </c>
      <c r="I35" s="57">
        <v>153.63</v>
      </c>
      <c r="J35" s="58">
        <v>124.3</v>
      </c>
      <c r="K35" s="58">
        <v>128.46</v>
      </c>
      <c r="L35" s="60">
        <v>129.4</v>
      </c>
      <c r="M35" s="64">
        <v>0</v>
      </c>
      <c r="N35" s="60">
        <v>0</v>
      </c>
      <c r="O35" s="60">
        <v>0</v>
      </c>
      <c r="P35" s="278">
        <v>0</v>
      </c>
      <c r="Q35" s="278">
        <v>0</v>
      </c>
      <c r="R35" s="278">
        <v>0</v>
      </c>
      <c r="S35" s="278">
        <v>0</v>
      </c>
      <c r="T35" s="295">
        <v>0</v>
      </c>
      <c r="U35" s="70">
        <v>0</v>
      </c>
      <c r="V35" s="70">
        <v>0</v>
      </c>
      <c r="W35" s="70">
        <v>0</v>
      </c>
      <c r="X35" s="70">
        <v>0</v>
      </c>
      <c r="Y35" s="70">
        <v>0</v>
      </c>
    </row>
    <row r="36" spans="1:25" ht="16.5" customHeight="1">
      <c r="A36" s="190" t="s">
        <v>33</v>
      </c>
      <c r="B36" s="53">
        <v>219.60000000000002</v>
      </c>
      <c r="C36" s="54">
        <v>287.09</v>
      </c>
      <c r="D36" s="55">
        <v>0</v>
      </c>
      <c r="E36" s="56">
        <v>0</v>
      </c>
      <c r="F36" s="57">
        <v>0</v>
      </c>
      <c r="G36" s="58">
        <v>0</v>
      </c>
      <c r="H36" s="57">
        <v>0</v>
      </c>
      <c r="I36" s="57">
        <v>0</v>
      </c>
      <c r="J36" s="58">
        <v>0</v>
      </c>
      <c r="K36" s="58">
        <v>0</v>
      </c>
      <c r="L36" s="60">
        <v>0</v>
      </c>
      <c r="M36" s="64">
        <v>0</v>
      </c>
      <c r="N36" s="60">
        <v>0</v>
      </c>
      <c r="O36" s="60">
        <v>0</v>
      </c>
      <c r="P36" s="278">
        <v>0</v>
      </c>
      <c r="Q36" s="278">
        <v>0</v>
      </c>
      <c r="R36" s="278">
        <v>0</v>
      </c>
      <c r="S36" s="278">
        <v>0</v>
      </c>
      <c r="T36" s="295">
        <v>0</v>
      </c>
      <c r="U36" s="70">
        <v>0</v>
      </c>
      <c r="V36" s="70">
        <v>0</v>
      </c>
      <c r="W36" s="70">
        <v>0</v>
      </c>
      <c r="X36" s="70">
        <v>0</v>
      </c>
      <c r="Y36" s="70">
        <v>0</v>
      </c>
    </row>
    <row r="37" spans="1:25" ht="16.5" customHeight="1">
      <c r="A37" s="190" t="s">
        <v>34</v>
      </c>
      <c r="B37" s="53">
        <v>2.7</v>
      </c>
      <c r="C37" s="54">
        <v>1.05</v>
      </c>
      <c r="D37" s="55">
        <v>0</v>
      </c>
      <c r="E37" s="56">
        <v>177.5</v>
      </c>
      <c r="F37" s="57">
        <v>402.18</v>
      </c>
      <c r="G37" s="58">
        <v>548.81</v>
      </c>
      <c r="H37" s="57">
        <v>402.66</v>
      </c>
      <c r="I37" s="57">
        <v>268.99</v>
      </c>
      <c r="J37" s="58">
        <v>120.96</v>
      </c>
      <c r="K37" s="58">
        <v>39.95</v>
      </c>
      <c r="L37" s="60">
        <v>0</v>
      </c>
      <c r="M37" s="64">
        <v>0</v>
      </c>
      <c r="N37" s="60">
        <v>0</v>
      </c>
      <c r="O37" s="60">
        <v>0</v>
      </c>
      <c r="P37" s="278">
        <v>0</v>
      </c>
      <c r="Q37" s="278">
        <v>0</v>
      </c>
      <c r="R37" s="278">
        <v>0</v>
      </c>
      <c r="S37" s="278">
        <v>0</v>
      </c>
      <c r="T37" s="295">
        <v>0</v>
      </c>
      <c r="U37" s="70">
        <v>0</v>
      </c>
      <c r="V37" s="70">
        <v>0</v>
      </c>
      <c r="W37" s="70">
        <v>0</v>
      </c>
      <c r="X37" s="70">
        <v>0</v>
      </c>
      <c r="Y37" s="70">
        <v>0</v>
      </c>
    </row>
    <row r="38" spans="1:25" ht="16.5" customHeight="1">
      <c r="A38" s="190" t="s">
        <v>35</v>
      </c>
      <c r="B38" s="53">
        <v>0</v>
      </c>
      <c r="C38" s="54">
        <v>0</v>
      </c>
      <c r="D38" s="55">
        <v>0</v>
      </c>
      <c r="E38" s="56">
        <v>0</v>
      </c>
      <c r="F38" s="57">
        <v>0.02</v>
      </c>
      <c r="G38" s="57">
        <v>0.1</v>
      </c>
      <c r="H38" s="57">
        <v>0.02</v>
      </c>
      <c r="I38" s="57">
        <v>0</v>
      </c>
      <c r="J38" s="58">
        <v>0</v>
      </c>
      <c r="K38" s="58">
        <v>0</v>
      </c>
      <c r="L38" s="81">
        <v>0</v>
      </c>
      <c r="M38" s="64">
        <v>0</v>
      </c>
      <c r="N38" s="60">
        <v>0</v>
      </c>
      <c r="O38" s="60">
        <v>0</v>
      </c>
      <c r="P38" s="278">
        <v>0</v>
      </c>
      <c r="Q38" s="278">
        <v>0</v>
      </c>
      <c r="R38" s="278">
        <v>0</v>
      </c>
      <c r="S38" s="278">
        <v>0</v>
      </c>
      <c r="T38" s="295">
        <v>0</v>
      </c>
      <c r="U38" s="70">
        <v>0</v>
      </c>
      <c r="V38" s="70">
        <v>0</v>
      </c>
      <c r="W38" s="70">
        <v>0</v>
      </c>
      <c r="X38" s="70">
        <v>0</v>
      </c>
      <c r="Y38" s="70">
        <v>0</v>
      </c>
    </row>
    <row r="39" spans="1:25" ht="16.5" customHeight="1">
      <c r="A39" s="188" t="s">
        <v>36</v>
      </c>
      <c r="B39" s="98">
        <v>25285.510000000002</v>
      </c>
      <c r="C39" s="99">
        <v>33776.4</v>
      </c>
      <c r="D39" s="98">
        <v>43793.82</v>
      </c>
      <c r="E39" s="99">
        <v>51136.75</v>
      </c>
      <c r="F39" s="99">
        <v>55147.33</v>
      </c>
      <c r="G39" s="99">
        <v>56381.799999999996</v>
      </c>
      <c r="H39" s="99">
        <v>59868.5</v>
      </c>
      <c r="I39" s="99">
        <v>76149.6</v>
      </c>
      <c r="J39" s="99">
        <v>100556.4</v>
      </c>
      <c r="K39" s="99">
        <v>136493.8</v>
      </c>
      <c r="L39" s="100">
        <v>182510.26032</v>
      </c>
      <c r="M39" s="99">
        <v>210388.6</v>
      </c>
      <c r="N39" s="99">
        <v>226841.9</v>
      </c>
      <c r="O39" s="99">
        <v>252179.8</v>
      </c>
      <c r="P39" s="282">
        <v>280763.80000000005</v>
      </c>
      <c r="Q39" s="282">
        <v>299142.6</v>
      </c>
      <c r="R39" s="282">
        <v>323039.30000000005</v>
      </c>
      <c r="S39" s="282">
        <v>408015.9</v>
      </c>
      <c r="T39" s="299">
        <v>337601.7</v>
      </c>
      <c r="U39" s="103">
        <v>357455</v>
      </c>
      <c r="V39" s="103">
        <v>350874.7</v>
      </c>
      <c r="W39" s="103">
        <v>352000.19999999995</v>
      </c>
      <c r="X39" s="103">
        <v>353484.1</v>
      </c>
      <c r="Y39" s="103">
        <v>357744.4</v>
      </c>
    </row>
    <row r="40" spans="1:25" ht="16.5" customHeight="1">
      <c r="A40" s="192" t="s">
        <v>37</v>
      </c>
      <c r="B40" s="55">
        <v>4658.65</v>
      </c>
      <c r="C40" s="58">
        <v>6421.2</v>
      </c>
      <c r="D40" s="55">
        <v>8167.6</v>
      </c>
      <c r="E40" s="56">
        <v>7939.65</v>
      </c>
      <c r="F40" s="57">
        <v>9657.13</v>
      </c>
      <c r="G40" s="58">
        <v>9383.6</v>
      </c>
      <c r="H40" s="57">
        <v>20951.3</v>
      </c>
      <c r="I40" s="57">
        <v>31922.2</v>
      </c>
      <c r="J40" s="58">
        <v>49526.6</v>
      </c>
      <c r="K40" s="58">
        <v>51566.6</v>
      </c>
      <c r="L40" s="68">
        <v>64095.9</v>
      </c>
      <c r="M40" s="64">
        <v>67788.9</v>
      </c>
      <c r="N40" s="68">
        <v>43428.3</v>
      </c>
      <c r="O40" s="68">
        <v>29453.9</v>
      </c>
      <c r="P40" s="278">
        <v>35713</v>
      </c>
      <c r="Q40" s="278">
        <v>44695.3</v>
      </c>
      <c r="R40" s="278">
        <v>53619.9</v>
      </c>
      <c r="S40" s="278">
        <v>60863</v>
      </c>
      <c r="T40" s="295">
        <v>51097.5</v>
      </c>
      <c r="U40" s="70">
        <v>57332.7</v>
      </c>
      <c r="V40" s="70">
        <v>53353.8</v>
      </c>
      <c r="W40" s="70">
        <v>51420.9</v>
      </c>
      <c r="X40" s="70">
        <v>50682.2</v>
      </c>
      <c r="Y40" s="70">
        <v>54820.1</v>
      </c>
    </row>
    <row r="41" spans="1:25" ht="16.5" customHeight="1">
      <c r="A41" s="192" t="s">
        <v>38</v>
      </c>
      <c r="B41" s="53">
        <v>5392.4</v>
      </c>
      <c r="C41" s="54">
        <v>7041.8</v>
      </c>
      <c r="D41" s="55">
        <v>8042.599999999999</v>
      </c>
      <c r="E41" s="56">
        <v>7259.5</v>
      </c>
      <c r="F41" s="57">
        <v>8386.8</v>
      </c>
      <c r="G41" s="58">
        <v>8198.5</v>
      </c>
      <c r="H41" s="57">
        <v>5375.2</v>
      </c>
      <c r="I41" s="57">
        <v>9011.9</v>
      </c>
      <c r="J41" s="58">
        <v>10712.5</v>
      </c>
      <c r="K41" s="58">
        <v>27096.1</v>
      </c>
      <c r="L41" s="60">
        <v>42792.21392</v>
      </c>
      <c r="M41" s="64">
        <v>55152.1</v>
      </c>
      <c r="N41" s="60">
        <v>77365.7</v>
      </c>
      <c r="O41" s="60">
        <v>94759.7</v>
      </c>
      <c r="P41" s="278">
        <v>83930.1</v>
      </c>
      <c r="Q41" s="278">
        <v>74902.4</v>
      </c>
      <c r="R41" s="278">
        <v>62990.3</v>
      </c>
      <c r="S41" s="278">
        <v>127195.3</v>
      </c>
      <c r="T41" s="295">
        <v>67236.6</v>
      </c>
      <c r="U41" s="70">
        <v>69260.5</v>
      </c>
      <c r="V41" s="70">
        <v>71382.8</v>
      </c>
      <c r="W41" s="70">
        <v>73746.9</v>
      </c>
      <c r="X41" s="70">
        <v>75435.9</v>
      </c>
      <c r="Y41" s="70">
        <v>78495.5</v>
      </c>
    </row>
    <row r="42" spans="1:25" ht="16.5" customHeight="1">
      <c r="A42" s="192" t="s">
        <v>39</v>
      </c>
      <c r="B42" s="53">
        <v>15234.460000000001</v>
      </c>
      <c r="C42" s="54">
        <v>20313.4</v>
      </c>
      <c r="D42" s="55">
        <v>27583.62</v>
      </c>
      <c r="E42" s="56">
        <v>35937.6</v>
      </c>
      <c r="F42" s="57">
        <v>37103.4</v>
      </c>
      <c r="G42" s="58">
        <v>38799.7</v>
      </c>
      <c r="H42" s="57">
        <v>33542</v>
      </c>
      <c r="I42" s="57">
        <v>35215.5</v>
      </c>
      <c r="J42" s="58">
        <v>40317.3</v>
      </c>
      <c r="K42" s="58">
        <v>57831.100000000006</v>
      </c>
      <c r="L42" s="81">
        <v>75622.1464</v>
      </c>
      <c r="M42" s="64">
        <v>87447.6</v>
      </c>
      <c r="N42" s="60">
        <v>106047.9</v>
      </c>
      <c r="O42" s="60">
        <v>127966.2</v>
      </c>
      <c r="P42" s="278">
        <v>161120.7</v>
      </c>
      <c r="Q42" s="278">
        <v>179544.9</v>
      </c>
      <c r="R42" s="278">
        <v>206429.1</v>
      </c>
      <c r="S42" s="278">
        <v>219957.6</v>
      </c>
      <c r="T42" s="295">
        <v>219267.6</v>
      </c>
      <c r="U42" s="70">
        <v>230861.8</v>
      </c>
      <c r="V42" s="70">
        <v>226138.1</v>
      </c>
      <c r="W42" s="70">
        <v>226832.4</v>
      </c>
      <c r="X42" s="70">
        <v>227366</v>
      </c>
      <c r="Y42" s="70">
        <v>224428.8</v>
      </c>
    </row>
    <row r="43" spans="1:25" ht="16.5" customHeight="1">
      <c r="A43" s="188" t="s">
        <v>40</v>
      </c>
      <c r="B43" s="71">
        <v>25285.5</v>
      </c>
      <c r="C43" s="72">
        <v>33776.4</v>
      </c>
      <c r="D43" s="71">
        <v>43793.78</v>
      </c>
      <c r="E43" s="72">
        <v>51136.82</v>
      </c>
      <c r="F43" s="72">
        <v>55147.31614</v>
      </c>
      <c r="G43" s="72">
        <v>56381.76</v>
      </c>
      <c r="H43" s="72">
        <v>59868.520000000004</v>
      </c>
      <c r="I43" s="72">
        <v>76149.6</v>
      </c>
      <c r="J43" s="72">
        <v>100556.4</v>
      </c>
      <c r="K43" s="72">
        <v>136493.8</v>
      </c>
      <c r="L43" s="73">
        <v>182510.26032</v>
      </c>
      <c r="M43" s="72">
        <v>210388.6</v>
      </c>
      <c r="N43" s="72">
        <v>226841.90000000002</v>
      </c>
      <c r="O43" s="72">
        <v>252179.80000000002</v>
      </c>
      <c r="P43" s="279">
        <v>280763.8</v>
      </c>
      <c r="Q43" s="279">
        <v>299142.6</v>
      </c>
      <c r="R43" s="279">
        <v>323039.3</v>
      </c>
      <c r="S43" s="279">
        <v>353016</v>
      </c>
      <c r="T43" s="296">
        <v>337601.69999999995</v>
      </c>
      <c r="U43" s="76">
        <v>357455</v>
      </c>
      <c r="V43" s="76">
        <v>350874.69999999995</v>
      </c>
      <c r="W43" s="76">
        <v>352000.19999999995</v>
      </c>
      <c r="X43" s="76">
        <v>353484.10000000003</v>
      </c>
      <c r="Y43" s="76">
        <v>357744.39999999997</v>
      </c>
    </row>
    <row r="44" spans="1:25" ht="16.5" customHeight="1">
      <c r="A44" s="190" t="s">
        <v>41</v>
      </c>
      <c r="B44" s="53">
        <v>8096.42</v>
      </c>
      <c r="C44" s="54">
        <v>12761.2</v>
      </c>
      <c r="D44" s="55">
        <v>17195.69</v>
      </c>
      <c r="E44" s="56">
        <v>21969.92</v>
      </c>
      <c r="F44" s="57">
        <v>22565.300000000003</v>
      </c>
      <c r="G44" s="58">
        <v>22749.36</v>
      </c>
      <c r="H44" s="57">
        <v>19336.5</v>
      </c>
      <c r="I44" s="57">
        <v>22056.6</v>
      </c>
      <c r="J44" s="58">
        <v>31495.2</v>
      </c>
      <c r="K44" s="58">
        <v>57934.4</v>
      </c>
      <c r="L44" s="59">
        <v>95049.07248</v>
      </c>
      <c r="M44" s="64">
        <v>115406.3</v>
      </c>
      <c r="N44" s="60">
        <v>154559.85</v>
      </c>
      <c r="O44" s="60">
        <v>193674.7</v>
      </c>
      <c r="P44" s="278">
        <v>216343.8</v>
      </c>
      <c r="Q44" s="278">
        <v>229871</v>
      </c>
      <c r="R44" s="278">
        <v>240873.5</v>
      </c>
      <c r="S44" s="278">
        <v>261529.5</v>
      </c>
      <c r="T44" s="295">
        <v>255960.3</v>
      </c>
      <c r="U44" s="70">
        <v>269769.9</v>
      </c>
      <c r="V44" s="70">
        <v>266963.1</v>
      </c>
      <c r="W44" s="70">
        <v>269935.3</v>
      </c>
      <c r="X44" s="70">
        <v>272058.4</v>
      </c>
      <c r="Y44" s="70">
        <v>272105.1</v>
      </c>
    </row>
    <row r="45" spans="1:25" ht="16.5" customHeight="1" thickBot="1">
      <c r="A45" s="190" t="s">
        <v>42</v>
      </c>
      <c r="B45" s="53">
        <v>17189.08</v>
      </c>
      <c r="C45" s="54">
        <v>21015.2</v>
      </c>
      <c r="D45" s="55">
        <v>26598.090000000004</v>
      </c>
      <c r="E45" s="56">
        <v>29166.9</v>
      </c>
      <c r="F45" s="57">
        <v>32582.01614</v>
      </c>
      <c r="G45" s="58">
        <v>33632.4</v>
      </c>
      <c r="H45" s="57">
        <v>40532.020000000004</v>
      </c>
      <c r="I45" s="57">
        <v>54093</v>
      </c>
      <c r="J45" s="58">
        <v>69061.2</v>
      </c>
      <c r="K45" s="58">
        <v>78559.4</v>
      </c>
      <c r="L45" s="59">
        <v>87461.18784</v>
      </c>
      <c r="M45" s="64">
        <v>94982.3</v>
      </c>
      <c r="N45" s="60">
        <v>72282.05</v>
      </c>
      <c r="O45" s="60">
        <v>58505.1</v>
      </c>
      <c r="P45" s="278">
        <v>64420</v>
      </c>
      <c r="Q45" s="278">
        <v>69271.6</v>
      </c>
      <c r="R45" s="278">
        <v>82165.8</v>
      </c>
      <c r="S45" s="278">
        <v>91486.5</v>
      </c>
      <c r="T45" s="295">
        <v>81641.4</v>
      </c>
      <c r="U45" s="70">
        <v>87685.1</v>
      </c>
      <c r="V45" s="70">
        <v>83911.6</v>
      </c>
      <c r="W45" s="70">
        <v>82064.9</v>
      </c>
      <c r="X45" s="70">
        <v>81425.7</v>
      </c>
      <c r="Y45" s="70">
        <v>85639.3</v>
      </c>
    </row>
    <row r="46" spans="1:25" ht="16.5" customHeight="1" thickBot="1">
      <c r="A46" s="193" t="s">
        <v>43</v>
      </c>
      <c r="B46" s="109">
        <v>3.3</v>
      </c>
      <c r="C46" s="110">
        <v>41.4</v>
      </c>
      <c r="D46" s="109">
        <v>73.6</v>
      </c>
      <c r="E46" s="110">
        <v>226.6</v>
      </c>
      <c r="F46" s="110">
        <v>672.4000000000001</v>
      </c>
      <c r="G46" s="110">
        <v>2629.1</v>
      </c>
      <c r="H46" s="110">
        <v>3472.3</v>
      </c>
      <c r="I46" s="110">
        <v>6174.700000000001</v>
      </c>
      <c r="J46" s="110">
        <v>9238.699999999999</v>
      </c>
      <c r="K46" s="110">
        <v>10835.2</v>
      </c>
      <c r="L46" s="111">
        <v>11948.925216</v>
      </c>
      <c r="M46" s="114">
        <v>12879.4</v>
      </c>
      <c r="N46" s="114">
        <v>14000.699999999999</v>
      </c>
      <c r="O46" s="114">
        <v>14971.1</v>
      </c>
      <c r="P46" s="283">
        <v>14891.699999999999</v>
      </c>
      <c r="Q46" s="283">
        <v>16791.1</v>
      </c>
      <c r="R46" s="283">
        <v>16040.9</v>
      </c>
      <c r="S46" s="283">
        <v>15433</v>
      </c>
      <c r="T46" s="300">
        <v>15354.4</v>
      </c>
      <c r="U46" s="117">
        <v>15252.4</v>
      </c>
      <c r="V46" s="117">
        <v>15160.6</v>
      </c>
      <c r="W46" s="117">
        <v>15756.5</v>
      </c>
      <c r="X46" s="117">
        <v>15110.1</v>
      </c>
      <c r="Y46" s="117">
        <v>15067.4</v>
      </c>
    </row>
    <row r="47" spans="1:25" ht="16.5" customHeight="1">
      <c r="A47" s="194" t="s">
        <v>44</v>
      </c>
      <c r="B47" s="53"/>
      <c r="C47" s="54"/>
      <c r="D47" s="55"/>
      <c r="E47" s="56"/>
      <c r="F47" s="57"/>
      <c r="G47" s="119"/>
      <c r="H47" s="119"/>
      <c r="I47" s="119"/>
      <c r="J47" s="58"/>
      <c r="K47" s="58"/>
      <c r="L47" s="120"/>
      <c r="M47" s="60"/>
      <c r="N47" s="60"/>
      <c r="O47" s="60"/>
      <c r="P47" s="278"/>
      <c r="Q47" s="278"/>
      <c r="R47" s="278"/>
      <c r="S47" s="290"/>
      <c r="T47" s="301"/>
      <c r="U47" s="155"/>
      <c r="V47" s="155"/>
      <c r="W47" s="155"/>
      <c r="X47" s="155"/>
      <c r="Y47" s="155"/>
    </row>
    <row r="48" spans="1:25" ht="16.5" customHeight="1">
      <c r="A48" s="186" t="s">
        <v>45</v>
      </c>
      <c r="B48" s="71">
        <v>3.3</v>
      </c>
      <c r="C48" s="72">
        <v>41.4</v>
      </c>
      <c r="D48" s="74">
        <v>73.6</v>
      </c>
      <c r="E48" s="72">
        <v>226.6</v>
      </c>
      <c r="F48" s="72">
        <v>672.4000000000001</v>
      </c>
      <c r="G48" s="72">
        <v>2629.1</v>
      </c>
      <c r="H48" s="72">
        <v>3472.3</v>
      </c>
      <c r="I48" s="72">
        <v>6174.700000000001</v>
      </c>
      <c r="J48" s="72">
        <v>9238.699999999999</v>
      </c>
      <c r="K48" s="72">
        <v>10835.2</v>
      </c>
      <c r="L48" s="73">
        <v>11948.925216</v>
      </c>
      <c r="M48" s="72">
        <v>12879.4</v>
      </c>
      <c r="N48" s="72">
        <v>14000.699999999999</v>
      </c>
      <c r="O48" s="72">
        <v>14971.1</v>
      </c>
      <c r="P48" s="279">
        <v>14891.699999999999</v>
      </c>
      <c r="Q48" s="279">
        <v>16791.1</v>
      </c>
      <c r="R48" s="279">
        <v>16040.9</v>
      </c>
      <c r="S48" s="279">
        <v>15433</v>
      </c>
      <c r="T48" s="296">
        <v>15354.4</v>
      </c>
      <c r="U48" s="76">
        <v>15252.4</v>
      </c>
      <c r="V48" s="76">
        <v>15160.6</v>
      </c>
      <c r="W48" s="76">
        <v>15756.5</v>
      </c>
      <c r="X48" s="76">
        <v>15110.1</v>
      </c>
      <c r="Y48" s="76">
        <v>15067.4</v>
      </c>
    </row>
    <row r="49" spans="1:25" ht="16.5" customHeight="1">
      <c r="A49" s="187" t="s">
        <v>5</v>
      </c>
      <c r="B49" s="53">
        <v>3.3</v>
      </c>
      <c r="C49" s="54">
        <v>41.4</v>
      </c>
      <c r="D49" s="56">
        <v>63.5</v>
      </c>
      <c r="E49" s="58">
        <v>196.7</v>
      </c>
      <c r="F49" s="58">
        <v>341</v>
      </c>
      <c r="G49" s="58">
        <v>2458.2</v>
      </c>
      <c r="H49" s="58">
        <v>3189</v>
      </c>
      <c r="I49" s="58">
        <v>5606.1</v>
      </c>
      <c r="J49" s="58">
        <v>8530.8</v>
      </c>
      <c r="K49" s="58">
        <v>10090.2</v>
      </c>
      <c r="L49" s="59">
        <v>11065.780576</v>
      </c>
      <c r="M49" s="57">
        <v>12199.6</v>
      </c>
      <c r="N49" s="60">
        <v>13302.8</v>
      </c>
      <c r="O49" s="60">
        <v>14376.2</v>
      </c>
      <c r="P49" s="278">
        <v>14360.3</v>
      </c>
      <c r="Q49" s="278">
        <v>16185.1</v>
      </c>
      <c r="R49" s="278">
        <v>15446.1</v>
      </c>
      <c r="S49" s="278">
        <v>14844.5</v>
      </c>
      <c r="T49" s="295">
        <v>14755.6</v>
      </c>
      <c r="U49" s="70">
        <v>14661.4</v>
      </c>
      <c r="V49" s="70">
        <v>14576.9</v>
      </c>
      <c r="W49" s="70">
        <v>15174</v>
      </c>
      <c r="X49" s="70">
        <v>14521.5</v>
      </c>
      <c r="Y49" s="70">
        <v>14483.3</v>
      </c>
    </row>
    <row r="50" spans="1:25" ht="16.5" customHeight="1">
      <c r="A50" s="187" t="s">
        <v>6</v>
      </c>
      <c r="B50" s="53">
        <v>0</v>
      </c>
      <c r="C50" s="54">
        <v>0</v>
      </c>
      <c r="D50" s="56">
        <v>10.1</v>
      </c>
      <c r="E50" s="58">
        <v>29.9</v>
      </c>
      <c r="F50" s="58">
        <v>331.40000000000003</v>
      </c>
      <c r="G50" s="58">
        <v>170.9</v>
      </c>
      <c r="H50" s="58">
        <v>283.29999999999995</v>
      </c>
      <c r="I50" s="58">
        <v>568.6</v>
      </c>
      <c r="J50" s="58">
        <v>707.9</v>
      </c>
      <c r="K50" s="58">
        <v>745</v>
      </c>
      <c r="L50" s="59">
        <v>883.14464</v>
      </c>
      <c r="M50" s="57">
        <v>679.8</v>
      </c>
      <c r="N50" s="60">
        <v>697.9</v>
      </c>
      <c r="O50" s="60">
        <v>594.9</v>
      </c>
      <c r="P50" s="278">
        <v>531.4</v>
      </c>
      <c r="Q50" s="278">
        <v>606</v>
      </c>
      <c r="R50" s="278">
        <v>594.8</v>
      </c>
      <c r="S50" s="278">
        <v>588.5</v>
      </c>
      <c r="T50" s="295">
        <v>598.8</v>
      </c>
      <c r="U50" s="70">
        <v>591</v>
      </c>
      <c r="V50" s="70">
        <v>583.7</v>
      </c>
      <c r="W50" s="70">
        <v>582.5</v>
      </c>
      <c r="X50" s="70">
        <v>588.6</v>
      </c>
      <c r="Y50" s="70">
        <v>584.1</v>
      </c>
    </row>
    <row r="51" spans="1:25" ht="16.5" customHeight="1">
      <c r="A51" s="188" t="s">
        <v>46</v>
      </c>
      <c r="B51" s="71">
        <v>3.3</v>
      </c>
      <c r="C51" s="72">
        <v>41.4</v>
      </c>
      <c r="D51" s="74">
        <v>73.6474614</v>
      </c>
      <c r="E51" s="72">
        <v>226.633176</v>
      </c>
      <c r="F51" s="72">
        <v>672.35</v>
      </c>
      <c r="G51" s="72">
        <v>2629.1000000000004</v>
      </c>
      <c r="H51" s="72">
        <v>3472.2627758</v>
      </c>
      <c r="I51" s="72">
        <v>6174.7</v>
      </c>
      <c r="J51" s="72">
        <v>9238.6</v>
      </c>
      <c r="K51" s="72">
        <v>10835.2</v>
      </c>
      <c r="L51" s="73">
        <v>11948.908064000001</v>
      </c>
      <c r="M51" s="72">
        <v>12879.359999999999</v>
      </c>
      <c r="N51" s="72">
        <v>14000.699999999999</v>
      </c>
      <c r="O51" s="72">
        <v>14917.054</v>
      </c>
      <c r="P51" s="279">
        <v>14891.7</v>
      </c>
      <c r="Q51" s="279">
        <v>16791.100000000002</v>
      </c>
      <c r="R51" s="279">
        <v>16040.9</v>
      </c>
      <c r="S51" s="279">
        <v>15433</v>
      </c>
      <c r="T51" s="296">
        <v>15354.4</v>
      </c>
      <c r="U51" s="76">
        <v>15252.3</v>
      </c>
      <c r="V51" s="76">
        <v>15160.6</v>
      </c>
      <c r="W51" s="76">
        <v>15756.5</v>
      </c>
      <c r="X51" s="76">
        <v>15110.1</v>
      </c>
      <c r="Y51" s="76">
        <v>15067.4</v>
      </c>
    </row>
    <row r="52" spans="1:25" ht="16.5" customHeight="1">
      <c r="A52" s="190" t="s">
        <v>47</v>
      </c>
      <c r="B52" s="53">
        <v>3.3</v>
      </c>
      <c r="C52" s="54">
        <v>41.4</v>
      </c>
      <c r="D52" s="56">
        <v>63.5</v>
      </c>
      <c r="E52" s="58">
        <v>196.7</v>
      </c>
      <c r="F52" s="58">
        <v>608.6</v>
      </c>
      <c r="G52" s="54">
        <v>671.7</v>
      </c>
      <c r="H52" s="58">
        <v>1393.2041437999999</v>
      </c>
      <c r="I52" s="58">
        <v>3296.6</v>
      </c>
      <c r="J52" s="58">
        <v>5422.5</v>
      </c>
      <c r="K52" s="58">
        <v>6494.86</v>
      </c>
      <c r="L52" s="59">
        <v>7210.891584</v>
      </c>
      <c r="M52" s="60">
        <v>7715.58</v>
      </c>
      <c r="N52" s="60">
        <v>8162</v>
      </c>
      <c r="O52" s="60">
        <v>8758.5</v>
      </c>
      <c r="P52" s="278">
        <v>8725.8</v>
      </c>
      <c r="Q52" s="285">
        <v>12882.7</v>
      </c>
      <c r="R52" s="278">
        <v>12526.3</v>
      </c>
      <c r="S52" s="278">
        <v>12321.9</v>
      </c>
      <c r="T52" s="295">
        <v>12252.8</v>
      </c>
      <c r="U52" s="70">
        <v>12165.8</v>
      </c>
      <c r="V52" s="70">
        <v>12101.7</v>
      </c>
      <c r="W52" s="70">
        <v>12710.2</v>
      </c>
      <c r="X52" s="70">
        <v>12105</v>
      </c>
      <c r="Y52" s="70">
        <v>12084.5</v>
      </c>
    </row>
    <row r="53" spans="1:25" ht="16.5" customHeight="1">
      <c r="A53" s="190" t="s">
        <v>23</v>
      </c>
      <c r="B53" s="53">
        <v>0</v>
      </c>
      <c r="C53" s="54">
        <v>0</v>
      </c>
      <c r="D53" s="56">
        <v>10.1474614</v>
      </c>
      <c r="E53" s="58">
        <v>29.933176</v>
      </c>
      <c r="F53" s="58">
        <v>63.75</v>
      </c>
      <c r="G53" s="58">
        <v>1957.4</v>
      </c>
      <c r="H53" s="58">
        <v>2072.758632</v>
      </c>
      <c r="I53" s="58">
        <v>2843.9</v>
      </c>
      <c r="J53" s="58">
        <v>3783.1</v>
      </c>
      <c r="K53" s="58">
        <v>4321.14</v>
      </c>
      <c r="L53" s="59">
        <v>4726.81648</v>
      </c>
      <c r="M53" s="60">
        <v>5157.38</v>
      </c>
      <c r="N53" s="60">
        <v>5836.9</v>
      </c>
      <c r="O53" s="60">
        <v>6158.5</v>
      </c>
      <c r="P53" s="278">
        <v>6118.2</v>
      </c>
      <c r="Q53" s="285">
        <v>3874</v>
      </c>
      <c r="R53" s="278">
        <v>3498.2</v>
      </c>
      <c r="S53" s="278">
        <v>3107.9</v>
      </c>
      <c r="T53" s="295">
        <v>3098.5</v>
      </c>
      <c r="U53" s="70">
        <v>3083.4</v>
      </c>
      <c r="V53" s="70">
        <v>3055.8</v>
      </c>
      <c r="W53" s="70">
        <v>3043.3</v>
      </c>
      <c r="X53" s="70">
        <v>3002</v>
      </c>
      <c r="Y53" s="70">
        <v>2979.8</v>
      </c>
    </row>
    <row r="54" spans="1:25" ht="16.5" customHeight="1">
      <c r="A54" s="190" t="s">
        <v>21</v>
      </c>
      <c r="B54" s="53">
        <v>0</v>
      </c>
      <c r="C54" s="54">
        <v>0</v>
      </c>
      <c r="D54" s="56">
        <v>0</v>
      </c>
      <c r="E54" s="58">
        <v>0</v>
      </c>
      <c r="F54" s="58">
        <v>0</v>
      </c>
      <c r="G54" s="58">
        <v>0</v>
      </c>
      <c r="H54" s="58">
        <v>6.3</v>
      </c>
      <c r="I54" s="58">
        <v>34.2</v>
      </c>
      <c r="J54" s="58">
        <v>33</v>
      </c>
      <c r="K54" s="58">
        <v>19.2</v>
      </c>
      <c r="L54" s="59">
        <v>11.2</v>
      </c>
      <c r="M54" s="60">
        <v>6.4</v>
      </c>
      <c r="N54" s="60">
        <v>1.8</v>
      </c>
      <c r="O54" s="60">
        <v>0.054</v>
      </c>
      <c r="P54" s="278">
        <v>47.7</v>
      </c>
      <c r="Q54" s="285">
        <v>34.4</v>
      </c>
      <c r="R54" s="278">
        <v>16.4</v>
      </c>
      <c r="S54" s="278">
        <v>3.2</v>
      </c>
      <c r="T54" s="295">
        <v>3.1</v>
      </c>
      <c r="U54" s="70">
        <v>3.1</v>
      </c>
      <c r="V54" s="70">
        <v>3.1</v>
      </c>
      <c r="W54" s="70">
        <v>3</v>
      </c>
      <c r="X54" s="70">
        <v>3.1</v>
      </c>
      <c r="Y54" s="70">
        <v>3.1</v>
      </c>
    </row>
    <row r="55" spans="1:25" ht="16.5" customHeight="1">
      <c r="A55" s="186" t="s">
        <v>48</v>
      </c>
      <c r="B55" s="74">
        <v>3.3</v>
      </c>
      <c r="C55" s="74">
        <v>41.4</v>
      </c>
      <c r="D55" s="74">
        <v>73.6</v>
      </c>
      <c r="E55" s="72">
        <v>226.6</v>
      </c>
      <c r="F55" s="72">
        <v>672.4</v>
      </c>
      <c r="G55" s="72">
        <v>2629.1</v>
      </c>
      <c r="H55" s="72">
        <v>3472.3</v>
      </c>
      <c r="I55" s="72">
        <v>6174.6</v>
      </c>
      <c r="J55" s="72">
        <v>9238.6</v>
      </c>
      <c r="K55" s="72">
        <v>10835.2</v>
      </c>
      <c r="L55" s="73">
        <v>11948.925216</v>
      </c>
      <c r="M55" s="72">
        <v>12879.349999999999</v>
      </c>
      <c r="N55" s="72">
        <v>14000.7</v>
      </c>
      <c r="O55" s="72">
        <v>14971.1</v>
      </c>
      <c r="P55" s="279">
        <v>14891.7</v>
      </c>
      <c r="Q55" s="279">
        <v>16791.1</v>
      </c>
      <c r="R55" s="279">
        <v>16040.9</v>
      </c>
      <c r="S55" s="279">
        <v>15433</v>
      </c>
      <c r="T55" s="296">
        <v>15354.400000000001</v>
      </c>
      <c r="U55" s="76">
        <v>15252.4</v>
      </c>
      <c r="V55" s="76">
        <v>15160.599999999999</v>
      </c>
      <c r="W55" s="76">
        <v>15756.5</v>
      </c>
      <c r="X55" s="76">
        <v>15110.1</v>
      </c>
      <c r="Y55" s="76">
        <v>15067.400000000001</v>
      </c>
    </row>
    <row r="56" spans="1:25" ht="16.5" customHeight="1">
      <c r="A56" s="190" t="s">
        <v>49</v>
      </c>
      <c r="B56" s="123">
        <v>3.3</v>
      </c>
      <c r="C56" s="124">
        <v>41.4</v>
      </c>
      <c r="D56" s="56">
        <v>63.5</v>
      </c>
      <c r="E56" s="58">
        <v>196.7</v>
      </c>
      <c r="F56" s="58">
        <v>608.6</v>
      </c>
      <c r="G56" s="58">
        <v>665.8</v>
      </c>
      <c r="H56" s="58">
        <v>476.4</v>
      </c>
      <c r="I56" s="58">
        <v>1192.8</v>
      </c>
      <c r="J56" s="58">
        <v>1295.1</v>
      </c>
      <c r="K56" s="58">
        <v>3115.8</v>
      </c>
      <c r="L56" s="59">
        <v>2350.728</v>
      </c>
      <c r="M56" s="60">
        <v>550.05</v>
      </c>
      <c r="N56" s="60">
        <v>566.1</v>
      </c>
      <c r="O56" s="60">
        <v>505.6</v>
      </c>
      <c r="P56" s="278">
        <v>747.2</v>
      </c>
      <c r="Q56" s="285">
        <v>1123.5</v>
      </c>
      <c r="R56" s="278">
        <v>978.4</v>
      </c>
      <c r="S56" s="278">
        <v>936.9</v>
      </c>
      <c r="T56" s="295">
        <v>937.2</v>
      </c>
      <c r="U56" s="70">
        <v>930.1</v>
      </c>
      <c r="V56" s="70">
        <v>925.3</v>
      </c>
      <c r="W56" s="70">
        <v>964.6</v>
      </c>
      <c r="X56" s="70">
        <v>919.1</v>
      </c>
      <c r="Y56" s="70">
        <v>916.2</v>
      </c>
    </row>
    <row r="57" spans="1:25" ht="16.5" customHeight="1" thickBot="1">
      <c r="A57" s="195" t="s">
        <v>50</v>
      </c>
      <c r="B57" s="128">
        <v>0</v>
      </c>
      <c r="C57" s="129">
        <v>0</v>
      </c>
      <c r="D57" s="130">
        <v>10.1</v>
      </c>
      <c r="E57" s="131">
        <v>29.9</v>
      </c>
      <c r="F57" s="131">
        <v>63.8</v>
      </c>
      <c r="G57" s="131">
        <v>1963.3</v>
      </c>
      <c r="H57" s="131">
        <v>2995.9</v>
      </c>
      <c r="I57" s="131">
        <v>4981.8</v>
      </c>
      <c r="J57" s="131">
        <v>7943.5</v>
      </c>
      <c r="K57" s="131">
        <v>7719.4</v>
      </c>
      <c r="L57" s="132">
        <v>9598.197216</v>
      </c>
      <c r="M57" s="138">
        <v>12329.3</v>
      </c>
      <c r="N57" s="138">
        <v>13434.6</v>
      </c>
      <c r="O57" s="138">
        <v>14465.5</v>
      </c>
      <c r="P57" s="284">
        <v>14144.5</v>
      </c>
      <c r="Q57" s="286">
        <v>15667.6</v>
      </c>
      <c r="R57" s="284">
        <v>15062.5</v>
      </c>
      <c r="S57" s="284">
        <v>14496.1</v>
      </c>
      <c r="T57" s="302">
        <v>14417.2</v>
      </c>
      <c r="U57" s="140">
        <v>14322.3</v>
      </c>
      <c r="V57" s="140">
        <v>14235.3</v>
      </c>
      <c r="W57" s="140">
        <v>14791.9</v>
      </c>
      <c r="X57" s="140">
        <v>14191</v>
      </c>
      <c r="Y57" s="140">
        <v>14151.2</v>
      </c>
    </row>
    <row r="58" spans="1:25" ht="24" customHeight="1">
      <c r="A58" s="141" t="s">
        <v>51</v>
      </c>
      <c r="B58" s="142">
        <v>2.4118</v>
      </c>
      <c r="C58" s="142">
        <v>2.7881</v>
      </c>
      <c r="D58" s="142">
        <v>3.4919000000000002</v>
      </c>
      <c r="E58" s="142">
        <v>4.1117</v>
      </c>
      <c r="F58" s="142">
        <v>3.9663</v>
      </c>
      <c r="G58" s="142">
        <v>3.6771000000000003</v>
      </c>
      <c r="H58" s="143">
        <v>3.3817</v>
      </c>
      <c r="I58" s="143">
        <v>3.6102</v>
      </c>
      <c r="J58" s="144">
        <v>3.9859999999999998</v>
      </c>
      <c r="K58" s="144">
        <v>4.2296</v>
      </c>
      <c r="L58" s="145">
        <v>4.2848</v>
      </c>
      <c r="M58" s="145">
        <v>4.3197</v>
      </c>
      <c r="N58" s="145">
        <v>4.4287</v>
      </c>
      <c r="O58" s="145">
        <v>4.4847</v>
      </c>
      <c r="P58" s="145">
        <v>4.4821</v>
      </c>
      <c r="Q58" s="145">
        <v>4.5245</v>
      </c>
      <c r="R58" s="145">
        <v>4.5411</v>
      </c>
      <c r="S58" s="145">
        <v>4.6597</v>
      </c>
      <c r="T58" s="145">
        <v>4.6582</v>
      </c>
      <c r="U58" s="145">
        <v>4.6625</v>
      </c>
      <c r="V58" s="145">
        <v>4.6576</v>
      </c>
      <c r="W58" s="145">
        <v>4.6589</v>
      </c>
      <c r="X58" s="145">
        <v>4.6485</v>
      </c>
      <c r="Y58" s="145">
        <v>4.6611</v>
      </c>
    </row>
    <row r="59" spans="1:25" ht="20.25" customHeight="1">
      <c r="A59" s="141" t="s">
        <v>52</v>
      </c>
      <c r="B59" s="146">
        <v>81275</v>
      </c>
      <c r="C59" s="146">
        <v>118327</v>
      </c>
      <c r="D59" s="146">
        <v>152630</v>
      </c>
      <c r="E59" s="146">
        <v>198761</v>
      </c>
      <c r="F59" s="146">
        <v>248748</v>
      </c>
      <c r="G59" s="146">
        <v>290489</v>
      </c>
      <c r="H59" s="147">
        <v>347004</v>
      </c>
      <c r="I59" s="147">
        <v>428979</v>
      </c>
      <c r="J59" s="147">
        <v>538050</v>
      </c>
      <c r="K59" s="147">
        <v>526345</v>
      </c>
      <c r="L59" s="148">
        <v>529624</v>
      </c>
      <c r="M59" s="149">
        <v>562062</v>
      </c>
      <c r="N59" s="149">
        <v>595367</v>
      </c>
      <c r="O59" s="149">
        <v>637456</v>
      </c>
      <c r="P59" s="149">
        <v>668144</v>
      </c>
      <c r="Q59" s="149">
        <v>712659</v>
      </c>
      <c r="R59" s="149">
        <v>762341.8</v>
      </c>
      <c r="S59" s="149">
        <v>858700</v>
      </c>
      <c r="T59" s="149">
        <v>945000</v>
      </c>
      <c r="U59" s="149">
        <v>945000</v>
      </c>
      <c r="V59" s="149">
        <v>945000</v>
      </c>
      <c r="W59" s="149">
        <v>945000</v>
      </c>
      <c r="X59" s="149">
        <v>945000</v>
      </c>
      <c r="Y59" s="149">
        <v>945000</v>
      </c>
    </row>
    <row r="60" spans="1:17" ht="16.5" customHeight="1">
      <c r="A60" s="150" t="s">
        <v>53</v>
      </c>
      <c r="B60" s="4"/>
      <c r="C60" s="4"/>
      <c r="D60" s="4"/>
      <c r="E60" s="4"/>
      <c r="F60" s="4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</row>
    <row r="61" spans="1:18" ht="16.5" customHeight="1">
      <c r="A61" s="304" t="s">
        <v>67</v>
      </c>
      <c r="B61" s="304"/>
      <c r="C61" s="304"/>
      <c r="D61" s="304"/>
      <c r="E61" s="304"/>
      <c r="I61" s="1"/>
      <c r="K61" s="1"/>
      <c r="O61" s="1"/>
      <c r="Q61" s="1"/>
      <c r="R61" s="154"/>
    </row>
    <row r="62" spans="1:17" ht="16.5" customHeight="1">
      <c r="A62" s="150"/>
      <c r="I62" s="1"/>
      <c r="K62" s="1"/>
      <c r="O62" s="1"/>
      <c r="Q62" s="1"/>
    </row>
    <row r="63" ht="15" customHeight="1"/>
    <row r="66" ht="16.5" customHeight="1">
      <c r="I66" s="165"/>
    </row>
    <row r="67" ht="16.5" customHeight="1">
      <c r="I67" s="161"/>
    </row>
  </sheetData>
  <sheetProtection selectLockedCells="1" selectUnlockedCells="1"/>
  <mergeCells count="1">
    <mergeCell ref="A61:E61"/>
  </mergeCells>
  <printOptions horizontalCentered="1"/>
  <pageMargins left="0.2362204724409449" right="0" top="0.2755905511811024" bottom="0" header="0.2362204724409449" footer="0.5118110236220472"/>
  <pageSetup horizontalDpi="600" verticalDpi="600" orientation="landscape" paperSize="9" scale="44" r:id="rId1"/>
  <headerFooter alignWithMargins="0">
    <oddHeader>&amp;CDatoria publica*)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SIMONA-DANA DAMIAN</dc:creator>
  <cp:keywords/>
  <dc:description/>
  <cp:lastModifiedBy>12017028</cp:lastModifiedBy>
  <cp:lastPrinted>2018-08-28T10:05:55Z</cp:lastPrinted>
  <dcterms:created xsi:type="dcterms:W3CDTF">2018-08-28T10:06:20Z</dcterms:created>
  <dcterms:modified xsi:type="dcterms:W3CDTF">2018-08-28T12:45:16Z</dcterms:modified>
  <cp:category/>
  <cp:version/>
  <cp:contentType/>
  <cp:contentStatus/>
</cp:coreProperties>
</file>