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tabRatio="813" firstSheet="2" activeTab="2"/>
  </bookViews>
  <sheets>
    <sheet name="2000 - 2016 mai cxalcule" sheetId="1" state="hidden" r:id="rId1"/>
    <sheet name="2008 - 2017 dec " sheetId="2" state="hidden" r:id="rId2"/>
    <sheet name="2000-2020 aprilie" sheetId="3" r:id="rId3"/>
  </sheets>
  <definedNames>
    <definedName name="Excel_BuiltIn_Print_Area" localSheetId="0">'2000 - 2016 mai cxalcule'!$A$5:$BB$66</definedName>
    <definedName name="Excel_BuiltIn_Print_Area" localSheetId="2">'2000-2020 aprilie'!$A$1:$O$63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'2000-2020 aprilie'!$A$1:$Y$63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<sst xmlns="http://schemas.openxmlformats.org/spreadsheetml/2006/main" count="190" uniqueCount="70">
  <si>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</si>
  <si>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</si>
  <si>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</si>
  <si>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</si>
  <si>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</si>
  <si>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</si>
  <si>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</si>
  <si>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</si>
  <si>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</si>
  <si>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</si>
  <si>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</si>
  <si>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</si>
  <si>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</si>
  <si>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</si>
  <si>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</si>
  <si>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</si>
  <si>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</si>
  <si>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</si>
  <si>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</si>
  <si>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</si>
  <si>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</si>
  <si>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</si>
  <si>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</si>
  <si>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</si>
  <si>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</si>
  <si>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</si>
  <si>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</si>
  <si>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</si>
  <si>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</si>
  <si>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</si>
  <si>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</si>
  <si>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</si>
  <si>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</si>
  <si>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</si>
  <si>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</si>
  <si>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</si>
  <si>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</si>
  <si>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</si>
  <si>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</si>
  <si>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</si>
  <si>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</si>
  <si>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</si>
  <si>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</si>
  <si>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</si>
  <si>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</si>
  <si>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</si>
  <si>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</si>
  <si>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</si>
  <si>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</si>
  <si>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</si>
  <si>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</si>
  <si>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</si>
  <si>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</si>
  <si>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</si>
  <si>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</si>
  <si>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</si>
  <si>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</si>
  <si>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</si>
  <si>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</si>
  <si>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</si>
  <si>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</si>
  <si>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</si>
  <si>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</si>
  <si>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</si>
  <si>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</si>
  <si>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</si>
  <si>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</si>
  <si>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</si>
  <si>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           - Obligatiuni pentru populație Program Tezaur</t>
  </si>
  <si>
    <t>PIB conform notificare fiscala din aprilie 2020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</si>
</sst>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0" fontId="4" fillId="34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2" fillId="0" borderId="74" xfId="0" applyNumberFormat="1" applyFont="1" applyBorder="1" applyAlignment="1">
      <alignment/>
    </xf>
    <xf numFmtId="180" fontId="2" fillId="0" borderId="75" xfId="0" applyNumberFormat="1" applyFont="1" applyBorder="1" applyAlignment="1">
      <alignment/>
    </xf>
    <xf numFmtId="180" fontId="2" fillId="0" borderId="76" xfId="0" applyNumberFormat="1" applyFont="1" applyBorder="1" applyAlignment="1">
      <alignment/>
    </xf>
    <xf numFmtId="180" fontId="3" fillId="0" borderId="75" xfId="0" applyNumberFormat="1" applyFont="1" applyBorder="1" applyAlignment="1">
      <alignment/>
    </xf>
    <xf numFmtId="182" fontId="4" fillId="33" borderId="77" xfId="0" applyNumberFormat="1" applyFont="1" applyFill="1" applyBorder="1" applyAlignment="1">
      <alignment horizontal="center" vertical="center"/>
    </xf>
    <xf numFmtId="180" fontId="4" fillId="34" borderId="77" xfId="0" applyNumberFormat="1" applyFont="1" applyFill="1" applyBorder="1" applyAlignment="1">
      <alignment horizontal="center" vertical="center" wrapText="1"/>
    </xf>
    <xf numFmtId="183" fontId="4" fillId="34" borderId="77" xfId="0" applyNumberFormat="1" applyFont="1" applyFill="1" applyBorder="1" applyAlignment="1">
      <alignment horizontal="center" vertical="center" wrapText="1"/>
    </xf>
    <xf numFmtId="180" fontId="49" fillId="0" borderId="75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" fontId="4" fillId="33" borderId="78" xfId="0" applyNumberFormat="1" applyFont="1" applyFill="1" applyBorder="1" applyAlignment="1">
      <alignment horizontal="center" vertical="center"/>
    </xf>
    <xf numFmtId="180" fontId="2" fillId="0" borderId="27" xfId="0" applyNumberFormat="1" applyFont="1" applyBorder="1" applyAlignment="1">
      <alignment/>
    </xf>
    <xf numFmtId="180" fontId="2" fillId="39" borderId="79" xfId="0" applyNumberFormat="1" applyFont="1" applyFill="1" applyBorder="1" applyAlignment="1">
      <alignment/>
    </xf>
    <xf numFmtId="180" fontId="2" fillId="39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 vertical="top" wrapText="1"/>
    </xf>
    <xf numFmtId="180" fontId="2" fillId="39" borderId="82" xfId="0" applyNumberFormat="1" applyFont="1" applyFill="1" applyBorder="1" applyAlignment="1">
      <alignment/>
    </xf>
    <xf numFmtId="180" fontId="2" fillId="0" borderId="80" xfId="0" applyNumberFormat="1" applyFont="1" applyBorder="1" applyAlignment="1">
      <alignment/>
    </xf>
    <xf numFmtId="180" fontId="4" fillId="0" borderId="81" xfId="0" applyNumberFormat="1" applyFont="1" applyFill="1" applyBorder="1" applyAlignment="1">
      <alignment/>
    </xf>
    <xf numFmtId="180" fontId="2" fillId="0" borderId="79" xfId="0" applyNumberFormat="1" applyFont="1" applyBorder="1" applyAlignment="1">
      <alignment/>
    </xf>
    <xf numFmtId="180" fontId="4" fillId="0" borderId="83" xfId="0" applyNumberFormat="1" applyFont="1" applyBorder="1" applyAlignment="1">
      <alignment/>
    </xf>
    <xf numFmtId="180" fontId="4" fillId="0" borderId="84" xfId="0" applyNumberFormat="1" applyFont="1" applyBorder="1" applyAlignment="1">
      <alignment vertical="top" wrapText="1"/>
    </xf>
    <xf numFmtId="180" fontId="2" fillId="39" borderId="85" xfId="0" applyNumberFormat="1" applyFont="1" applyFill="1" applyBorder="1" applyAlignment="1">
      <alignment/>
    </xf>
    <xf numFmtId="180" fontId="2" fillId="39" borderId="86" xfId="0" applyNumberFormat="1" applyFont="1" applyFill="1" applyBorder="1" applyAlignment="1">
      <alignment/>
    </xf>
    <xf numFmtId="180" fontId="4" fillId="0" borderId="84" xfId="0" applyNumberFormat="1" applyFont="1" applyFill="1" applyBorder="1" applyAlignment="1">
      <alignment vertical="top" wrapText="1"/>
    </xf>
    <xf numFmtId="180" fontId="2" fillId="39" borderId="83" xfId="0" applyNumberFormat="1" applyFont="1" applyFill="1" applyBorder="1" applyAlignment="1">
      <alignment/>
    </xf>
    <xf numFmtId="180" fontId="2" fillId="0" borderId="86" xfId="0" applyNumberFormat="1" applyFont="1" applyBorder="1" applyAlignment="1">
      <alignment/>
    </xf>
    <xf numFmtId="180" fontId="4" fillId="0" borderId="84" xfId="0" applyNumberFormat="1" applyFont="1" applyFill="1" applyBorder="1" applyAlignment="1">
      <alignment/>
    </xf>
    <xf numFmtId="180" fontId="2" fillId="0" borderId="85" xfId="0" applyNumberFormat="1" applyFont="1" applyBorder="1" applyAlignment="1">
      <alignment/>
    </xf>
    <xf numFmtId="180" fontId="2" fillId="0" borderId="87" xfId="0" applyNumberFormat="1" applyFont="1" applyFill="1" applyBorder="1" applyAlignment="1">
      <alignment vertical="top" wrapText="1"/>
    </xf>
    <xf numFmtId="180" fontId="2" fillId="0" borderId="88" xfId="0" applyNumberFormat="1" applyFont="1" applyFill="1" applyBorder="1" applyAlignment="1">
      <alignment/>
    </xf>
    <xf numFmtId="180" fontId="2" fillId="0" borderId="87" xfId="0" applyNumberFormat="1" applyFont="1" applyFill="1" applyBorder="1" applyAlignment="1">
      <alignment/>
    </xf>
    <xf numFmtId="180" fontId="2" fillId="0" borderId="89" xfId="0" applyNumberFormat="1" applyFont="1" applyFill="1" applyBorder="1" applyAlignment="1">
      <alignment/>
    </xf>
    <xf numFmtId="180" fontId="2" fillId="0" borderId="90" xfId="0" applyNumberFormat="1" applyFont="1" applyFill="1" applyBorder="1" applyAlignment="1">
      <alignment/>
    </xf>
    <xf numFmtId="180" fontId="2" fillId="0" borderId="88" xfId="0" applyNumberFormat="1" applyFont="1" applyFill="1" applyBorder="1" applyAlignment="1">
      <alignment/>
    </xf>
    <xf numFmtId="180" fontId="2" fillId="0" borderId="90" xfId="0" applyNumberFormat="1" applyFont="1" applyBorder="1" applyAlignment="1">
      <alignment/>
    </xf>
    <xf numFmtId="180" fontId="2" fillId="0" borderId="89" xfId="0" applyNumberFormat="1" applyFont="1" applyBorder="1" applyAlignment="1">
      <alignment/>
    </xf>
    <xf numFmtId="180" fontId="2" fillId="0" borderId="88" xfId="0" applyNumberFormat="1" applyFont="1" applyBorder="1" applyAlignment="1">
      <alignment/>
    </xf>
    <xf numFmtId="180" fontId="2" fillId="0" borderId="91" xfId="0" applyNumberFormat="1" applyFont="1" applyBorder="1" applyAlignment="1">
      <alignment/>
    </xf>
    <xf numFmtId="180" fontId="2" fillId="0" borderId="92" xfId="0" applyNumberFormat="1" applyFont="1" applyBorder="1" applyAlignment="1">
      <alignment/>
    </xf>
    <xf numFmtId="180" fontId="2" fillId="0" borderId="93" xfId="0" applyNumberFormat="1" applyFont="1" applyBorder="1" applyAlignment="1">
      <alignment/>
    </xf>
    <xf numFmtId="0" fontId="4" fillId="0" borderId="94" xfId="0" applyNumberFormat="1" applyFont="1" applyBorder="1" applyAlignment="1">
      <alignment horizontal="left" vertical="center" wrapText="1"/>
    </xf>
    <xf numFmtId="180" fontId="4" fillId="0" borderId="95" xfId="0" applyNumberFormat="1" applyFont="1" applyFill="1" applyBorder="1" applyAlignment="1">
      <alignment/>
    </xf>
    <xf numFmtId="180" fontId="4" fillId="0" borderId="96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180" fontId="4" fillId="0" borderId="98" xfId="0" applyNumberFormat="1" applyFont="1" applyFill="1" applyBorder="1" applyAlignment="1">
      <alignment/>
    </xf>
    <xf numFmtId="180" fontId="2" fillId="0" borderId="89" xfId="0" applyNumberFormat="1" applyFont="1" applyFill="1" applyBorder="1" applyAlignment="1">
      <alignment vertical="top" wrapText="1"/>
    </xf>
    <xf numFmtId="180" fontId="2" fillId="0" borderId="89" xfId="0" applyNumberFormat="1" applyFont="1" applyFill="1" applyBorder="1" applyAlignment="1">
      <alignment/>
    </xf>
    <xf numFmtId="180" fontId="3" fillId="0" borderId="91" xfId="0" applyNumberFormat="1" applyFont="1" applyBorder="1" applyAlignment="1">
      <alignment/>
    </xf>
    <xf numFmtId="183" fontId="4" fillId="0" borderId="99" xfId="0" applyNumberFormat="1" applyFont="1" applyBorder="1" applyAlignment="1">
      <alignment/>
    </xf>
    <xf numFmtId="180" fontId="4" fillId="0" borderId="43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80" xfId="0" applyNumberFormat="1" applyFont="1" applyBorder="1" applyAlignment="1">
      <alignment/>
    </xf>
    <xf numFmtId="180" fontId="4" fillId="0" borderId="24" xfId="0" applyNumberFormat="1" applyFont="1" applyBorder="1" applyAlignment="1">
      <alignment vertical="top" wrapText="1"/>
    </xf>
    <xf numFmtId="180" fontId="4" fillId="0" borderId="27" xfId="0" applyNumberFormat="1" applyFont="1" applyBorder="1" applyAlignment="1">
      <alignment vertical="top" wrapText="1"/>
    </xf>
    <xf numFmtId="180" fontId="4" fillId="0" borderId="82" xfId="0" applyNumberFormat="1" applyFont="1" applyBorder="1" applyAlignment="1">
      <alignment vertical="top" wrapText="1"/>
    </xf>
    <xf numFmtId="183" fontId="4" fillId="0" borderId="65" xfId="0" applyNumberFormat="1" applyFont="1" applyBorder="1" applyAlignment="1">
      <alignment/>
    </xf>
    <xf numFmtId="183" fontId="4" fillId="0" borderId="86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5">
        <f>(BT15+BT17+BT18)/BT63</f>
        <v>42656.49243010277</v>
      </c>
      <c r="BU1" s="195">
        <f aca="true" t="shared" si="0" ref="BU1:CQ1">(BU15+BU17+BU18)/BU63</f>
        <v>42111.32187837748</v>
      </c>
      <c r="BV1" s="195">
        <f t="shared" si="0"/>
        <v>43474.62633133447</v>
      </c>
      <c r="BW1" s="195">
        <f t="shared" si="0"/>
        <v>43847.33336313649</v>
      </c>
      <c r="BX1" s="195">
        <f t="shared" si="0"/>
        <v>44685.73279135212</v>
      </c>
      <c r="BY1" s="195">
        <f t="shared" si="0"/>
        <v>44617.298016180874</v>
      </c>
      <c r="BZ1" s="195">
        <f t="shared" si="0"/>
        <v>43804.02565804026</v>
      </c>
      <c r="CA1" s="195">
        <f t="shared" si="0"/>
        <v>44633.82899628253</v>
      </c>
      <c r="CB1" s="195">
        <f t="shared" si="0"/>
        <v>44128.99180364581</v>
      </c>
      <c r="CC1" s="195">
        <f t="shared" si="0"/>
        <v>44830.53702580689</v>
      </c>
      <c r="CD1" s="195">
        <f t="shared" si="0"/>
        <v>46288.83414341833</v>
      </c>
      <c r="CE1" s="195">
        <f t="shared" si="0"/>
        <v>46722.0187762168</v>
      </c>
      <c r="CF1" s="195">
        <f t="shared" si="0"/>
        <v>46772.103675320956</v>
      </c>
      <c r="CG1" s="195">
        <f t="shared" si="0"/>
        <v>47366.93458856965</v>
      </c>
      <c r="CH1" s="195">
        <f t="shared" si="0"/>
        <v>47841.34189548273</v>
      </c>
      <c r="CI1" s="195">
        <f t="shared" si="0"/>
        <v>48169.32170244556</v>
      </c>
      <c r="CJ1" s="195">
        <f t="shared" si="0"/>
        <v>48891.84479297642</v>
      </c>
      <c r="CK1" s="195">
        <f t="shared" si="0"/>
        <v>50701.172815194084</v>
      </c>
      <c r="CL1" s="195">
        <f t="shared" si="0"/>
        <v>50142.49324754607</v>
      </c>
      <c r="CM1" s="195">
        <f t="shared" si="0"/>
        <v>49426.18097284969</v>
      </c>
      <c r="CN1" s="195">
        <f t="shared" si="0"/>
        <v>49513.28802335207</v>
      </c>
      <c r="CO1" s="195">
        <f t="shared" si="0"/>
        <v>49944.96749364006</v>
      </c>
      <c r="CP1" s="195">
        <f>(CP15+CP17+CP18)/CP63</f>
        <v>50844.53626182451</v>
      </c>
      <c r="CQ1" s="195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8" t="s">
        <v>59</v>
      </c>
      <c r="B3" s="199">
        <f aca="true" t="shared" si="1" ref="B3:AM3">B5+B48</f>
        <v>25288.80802</v>
      </c>
      <c r="C3" s="200">
        <f t="shared" si="1"/>
        <v>33817.842</v>
      </c>
      <c r="D3" s="200">
        <f t="shared" si="1"/>
        <v>43867.39546</v>
      </c>
      <c r="E3" s="200">
        <f t="shared" si="1"/>
        <v>51363.20874999999</v>
      </c>
      <c r="F3" s="200">
        <f t="shared" si="1"/>
        <v>55819.68415</v>
      </c>
      <c r="G3" s="200">
        <f t="shared" si="1"/>
        <v>59010.94912</v>
      </c>
      <c r="H3" s="200">
        <f t="shared" si="1"/>
        <v>63340.806710000004</v>
      </c>
      <c r="I3" s="200">
        <f t="shared" si="1"/>
        <v>82324.33</v>
      </c>
      <c r="J3" s="200">
        <f t="shared" si="1"/>
        <v>109795.09999999999</v>
      </c>
      <c r="K3" s="200">
        <f t="shared" si="1"/>
        <v>147329</v>
      </c>
      <c r="L3" s="200">
        <f t="shared" si="1"/>
        <v>194459.225216</v>
      </c>
      <c r="M3" s="200">
        <f t="shared" si="1"/>
        <v>190381.64851</v>
      </c>
      <c r="N3" s="200">
        <f t="shared" si="1"/>
        <v>193107.39250000002</v>
      </c>
      <c r="O3" s="200">
        <f t="shared" si="1"/>
        <v>198980.506151</v>
      </c>
      <c r="P3" s="200">
        <f t="shared" si="1"/>
        <v>195474.53456</v>
      </c>
      <c r="Q3" s="200">
        <f t="shared" si="1"/>
        <v>200663.32431999999</v>
      </c>
      <c r="R3" s="200">
        <f t="shared" si="1"/>
        <v>214025.75594</v>
      </c>
      <c r="S3" s="200">
        <f t="shared" si="1"/>
        <v>204632.34567</v>
      </c>
      <c r="T3" s="200">
        <f t="shared" si="1"/>
        <v>207572.22164</v>
      </c>
      <c r="U3" s="200">
        <f t="shared" si="1"/>
        <v>212342.97689</v>
      </c>
      <c r="V3" s="200">
        <f t="shared" si="1"/>
        <v>211502.83140999998</v>
      </c>
      <c r="W3" s="200">
        <f t="shared" si="1"/>
        <v>214379.13931</v>
      </c>
      <c r="X3" s="200">
        <f t="shared" si="1"/>
        <v>223268</v>
      </c>
      <c r="Y3" s="200">
        <f t="shared" si="1"/>
        <v>220133.9</v>
      </c>
      <c r="Z3" s="200">
        <f t="shared" si="1"/>
        <v>230376.4</v>
      </c>
      <c r="AA3" s="200">
        <f t="shared" si="1"/>
        <v>235172.1</v>
      </c>
      <c r="AB3" s="200">
        <f t="shared" si="1"/>
        <v>236648.30000000002</v>
      </c>
      <c r="AC3" s="200">
        <f t="shared" si="1"/>
        <v>237762.90000000002</v>
      </c>
      <c r="AD3" s="200">
        <f t="shared" si="1"/>
        <v>232171.8</v>
      </c>
      <c r="AE3" s="200">
        <f t="shared" si="1"/>
        <v>236699.4</v>
      </c>
      <c r="AF3" s="200">
        <f t="shared" si="1"/>
        <v>231663.8</v>
      </c>
      <c r="AG3" s="200">
        <f t="shared" si="1"/>
        <v>236297.5</v>
      </c>
      <c r="AH3" s="200">
        <f t="shared" si="1"/>
        <v>238893.20004</v>
      </c>
      <c r="AI3" s="200">
        <f t="shared" si="1"/>
        <v>240876</v>
      </c>
      <c r="AJ3" s="200">
        <f t="shared" si="1"/>
        <v>240842.6</v>
      </c>
      <c r="AK3" s="200">
        <f t="shared" si="1"/>
        <v>240638.59999999998</v>
      </c>
      <c r="AL3" s="200">
        <f t="shared" si="1"/>
        <v>249736.2</v>
      </c>
      <c r="AM3" s="200">
        <f t="shared" si="1"/>
        <v>252638.56999999998</v>
      </c>
      <c r="AN3" s="200">
        <v>253188.3</v>
      </c>
      <c r="AO3" s="200">
        <f aca="true" t="shared" si="2" ref="AO3:AT3">AO5+AO48</f>
        <v>250128.99999999997</v>
      </c>
      <c r="AP3" s="200">
        <f t="shared" si="2"/>
        <v>254325.2</v>
      </c>
      <c r="AQ3" s="200">
        <f t="shared" si="2"/>
        <v>252605.49999999997</v>
      </c>
      <c r="AR3" s="200">
        <f t="shared" si="2"/>
        <v>253657.6</v>
      </c>
      <c r="AS3" s="200">
        <f t="shared" si="2"/>
        <v>261296.3</v>
      </c>
      <c r="AT3" s="200">
        <f t="shared" si="2"/>
        <v>266213.60000000003</v>
      </c>
      <c r="AU3" s="200">
        <v>261530.3</v>
      </c>
      <c r="AV3" s="200">
        <f aca="true" t="shared" si="3" ref="AV3:CR3">AV5+AV48</f>
        <v>267150.89999999997</v>
      </c>
      <c r="AW3" s="200">
        <f t="shared" si="3"/>
        <v>270820</v>
      </c>
      <c r="AX3" s="200">
        <f t="shared" si="3"/>
        <v>274378.60000000003</v>
      </c>
      <c r="AY3" s="200">
        <f t="shared" si="3"/>
        <v>269394.8</v>
      </c>
      <c r="AZ3" s="200">
        <f t="shared" si="3"/>
        <v>276394.2</v>
      </c>
      <c r="BA3" s="200">
        <f t="shared" si="3"/>
        <v>270298.5</v>
      </c>
      <c r="BB3" s="200">
        <f t="shared" si="3"/>
        <v>271751.9</v>
      </c>
      <c r="BC3" s="200">
        <f t="shared" si="3"/>
        <v>269774.66</v>
      </c>
      <c r="BD3" s="200">
        <f t="shared" si="3"/>
        <v>270137.5</v>
      </c>
      <c r="BE3" s="200">
        <f t="shared" si="3"/>
        <v>268668.2</v>
      </c>
      <c r="BF3" s="200">
        <f t="shared" si="3"/>
        <v>276373.8</v>
      </c>
      <c r="BG3" s="200">
        <f t="shared" si="3"/>
        <v>280298.00000000006</v>
      </c>
      <c r="BH3" s="200">
        <f t="shared" si="3"/>
        <v>295655.5</v>
      </c>
      <c r="BI3" s="200">
        <f t="shared" si="3"/>
        <v>282917.4</v>
      </c>
      <c r="BJ3" s="200">
        <f t="shared" si="3"/>
        <v>287269.7</v>
      </c>
      <c r="BK3" s="200">
        <f t="shared" si="3"/>
        <v>283693.44</v>
      </c>
      <c r="BL3" s="200">
        <f t="shared" si="3"/>
        <v>280022.7</v>
      </c>
      <c r="BM3" s="200">
        <f t="shared" si="3"/>
        <v>283219.8</v>
      </c>
      <c r="BN3" s="200">
        <f t="shared" si="3"/>
        <v>288616.4</v>
      </c>
      <c r="BO3" s="200">
        <f t="shared" si="3"/>
        <v>283363.3</v>
      </c>
      <c r="BP3" s="200">
        <f t="shared" si="3"/>
        <v>285535.80000000005</v>
      </c>
      <c r="BQ3" s="200">
        <f t="shared" si="3"/>
        <v>287337</v>
      </c>
      <c r="BR3" s="200">
        <f t="shared" si="3"/>
        <v>292368</v>
      </c>
      <c r="BS3" s="200">
        <f t="shared" si="3"/>
        <v>297309.9</v>
      </c>
      <c r="BT3" s="200">
        <f t="shared" si="3"/>
        <v>315933.69999999995</v>
      </c>
      <c r="BU3" s="200">
        <f t="shared" si="3"/>
        <v>306473</v>
      </c>
      <c r="BV3" s="200">
        <f t="shared" si="3"/>
        <v>310698.47000000003</v>
      </c>
      <c r="BW3" s="200">
        <f t="shared" si="3"/>
        <v>309543.3</v>
      </c>
      <c r="BX3" s="200">
        <f t="shared" si="3"/>
        <v>314036.8</v>
      </c>
      <c r="BY3" s="200">
        <f t="shared" si="3"/>
        <v>322358.2</v>
      </c>
      <c r="BZ3" s="200">
        <f t="shared" si="3"/>
        <v>318471.8</v>
      </c>
      <c r="CA3" s="200">
        <f t="shared" si="3"/>
        <v>316968.4</v>
      </c>
      <c r="CB3" s="200">
        <f t="shared" si="3"/>
        <v>312264.1</v>
      </c>
      <c r="CC3" s="200">
        <f t="shared" si="3"/>
        <v>313946.7</v>
      </c>
      <c r="CD3" s="200">
        <f t="shared" si="3"/>
        <v>319528.8</v>
      </c>
      <c r="CE3" s="200">
        <f t="shared" si="3"/>
        <v>325288.2</v>
      </c>
      <c r="CF3" s="200">
        <f t="shared" si="3"/>
        <v>339523</v>
      </c>
      <c r="CG3" s="200">
        <f t="shared" si="3"/>
        <v>333425.80000000005</v>
      </c>
      <c r="CH3" s="200">
        <f t="shared" si="3"/>
        <v>337815.47000000003</v>
      </c>
      <c r="CI3" s="200">
        <f t="shared" si="3"/>
        <v>342571.3</v>
      </c>
      <c r="CJ3" s="200">
        <f t="shared" si="3"/>
        <v>341772.7</v>
      </c>
      <c r="CK3" s="200">
        <f t="shared" si="3"/>
        <v>352485.2</v>
      </c>
      <c r="CL3" s="201">
        <f t="shared" si="3"/>
        <v>352145.89999999997</v>
      </c>
      <c r="CM3" s="201">
        <f t="shared" si="3"/>
        <v>346619.1</v>
      </c>
      <c r="CN3" s="201">
        <f t="shared" si="3"/>
        <v>348702.1</v>
      </c>
      <c r="CO3" s="201">
        <f t="shared" si="3"/>
        <v>344400.10000000003</v>
      </c>
      <c r="CP3" s="201">
        <f t="shared" si="3"/>
        <v>352867.4</v>
      </c>
      <c r="CQ3" s="201">
        <f t="shared" si="3"/>
        <v>358237.5</v>
      </c>
      <c r="CR3" s="201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6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7" customFormat="1" ht="31.5">
      <c r="A21" s="246" t="s">
        <v>63</v>
      </c>
      <c r="B21" s="223">
        <v>1384</v>
      </c>
      <c r="C21" s="224">
        <v>1641.8</v>
      </c>
      <c r="D21" s="225">
        <v>2171.4</v>
      </c>
      <c r="E21" s="225">
        <v>3613.8</v>
      </c>
      <c r="F21" s="225">
        <v>3629.5</v>
      </c>
      <c r="G21" s="225">
        <v>8044.6</v>
      </c>
      <c r="H21" s="225">
        <v>19839.2</v>
      </c>
      <c r="I21" s="225">
        <v>29407.8</v>
      </c>
      <c r="J21" s="226">
        <v>39594.7</v>
      </c>
      <c r="K21" s="226">
        <v>28134.4</v>
      </c>
      <c r="L21" s="226">
        <v>31436.7</v>
      </c>
      <c r="M21" s="226">
        <v>26005.7</v>
      </c>
      <c r="N21" s="226">
        <v>26847.4</v>
      </c>
      <c r="O21" s="226">
        <v>30373.396</v>
      </c>
      <c r="P21" s="226">
        <v>25953.3</v>
      </c>
      <c r="Q21" s="226">
        <v>25518.2</v>
      </c>
      <c r="R21" s="226">
        <v>30485.03</v>
      </c>
      <c r="S21" s="226">
        <v>25781.5</v>
      </c>
      <c r="T21" s="226">
        <v>28981.7</v>
      </c>
      <c r="U21" s="226">
        <v>29426.2</v>
      </c>
      <c r="V21" s="226">
        <v>31299.2</v>
      </c>
      <c r="W21" s="226">
        <v>30665.7</v>
      </c>
      <c r="X21" s="226">
        <v>31845.1</v>
      </c>
      <c r="Y21" s="226">
        <v>25490.1</v>
      </c>
      <c r="Z21" s="226">
        <v>25539.4</v>
      </c>
      <c r="AA21" s="226">
        <v>23324.4</v>
      </c>
      <c r="AB21" s="226">
        <v>23426.2</v>
      </c>
      <c r="AC21" s="226">
        <v>24309.7</v>
      </c>
      <c r="AD21" s="226">
        <v>20438.3</v>
      </c>
      <c r="AE21" s="226">
        <v>24545.2</v>
      </c>
      <c r="AF21" s="226">
        <v>24204.4</v>
      </c>
      <c r="AG21" s="226">
        <v>21915.9</v>
      </c>
      <c r="AH21" s="226">
        <v>24273.6</v>
      </c>
      <c r="AI21" s="226">
        <v>20785.4</v>
      </c>
      <c r="AJ21" s="226">
        <v>16165.6</v>
      </c>
      <c r="AK21" s="226">
        <v>10942</v>
      </c>
      <c r="AL21" s="226">
        <v>14289</v>
      </c>
      <c r="AM21" s="226">
        <v>18333.5</v>
      </c>
      <c r="AN21" s="226">
        <v>19652.1</v>
      </c>
      <c r="AO21" s="226">
        <v>14618.6</v>
      </c>
      <c r="AP21" s="226">
        <v>15466.2</v>
      </c>
      <c r="AQ21" s="226">
        <v>16431.6</v>
      </c>
      <c r="AR21" s="226">
        <v>16393.4</v>
      </c>
      <c r="AS21" s="226">
        <v>16751.9</v>
      </c>
      <c r="AT21" s="226">
        <v>17523.3</v>
      </c>
      <c r="AU21" s="226">
        <v>16728</v>
      </c>
      <c r="AV21" s="226">
        <v>19155.8</v>
      </c>
      <c r="AW21" s="226">
        <v>12471.5</v>
      </c>
      <c r="AX21" s="226">
        <v>15411.8</v>
      </c>
      <c r="AY21" s="226">
        <v>13976.3</v>
      </c>
      <c r="AZ21" s="226">
        <v>17088.1</v>
      </c>
      <c r="BA21" s="226">
        <v>16055.1</v>
      </c>
      <c r="BB21" s="226">
        <v>14161.5</v>
      </c>
      <c r="BC21" s="226">
        <v>13177.9</v>
      </c>
      <c r="BD21" s="226">
        <v>11862.2</v>
      </c>
      <c r="BE21" s="226">
        <v>8644.3</v>
      </c>
      <c r="BF21" s="226">
        <v>12566.2</v>
      </c>
      <c r="BG21" s="226">
        <v>13931.85</v>
      </c>
      <c r="BH21" s="226">
        <v>24919.6</v>
      </c>
      <c r="BI21" s="226">
        <v>16271.7</v>
      </c>
      <c r="BJ21" s="226">
        <v>16351.9</v>
      </c>
      <c r="BK21" s="226">
        <v>17045.2</v>
      </c>
      <c r="BL21" s="226">
        <v>18679.4</v>
      </c>
      <c r="BM21" s="226">
        <v>18228.2</v>
      </c>
      <c r="BN21" s="226">
        <v>22414.8</v>
      </c>
      <c r="BO21" s="226">
        <v>21429.7</v>
      </c>
      <c r="BP21" s="226">
        <v>21236.3</v>
      </c>
      <c r="BQ21" s="226">
        <v>21560.1</v>
      </c>
      <c r="BR21" s="226">
        <v>20321.9</v>
      </c>
      <c r="BS21" s="226">
        <v>21524.7</v>
      </c>
      <c r="BT21" s="226">
        <v>35519.2</v>
      </c>
      <c r="BU21" s="226">
        <v>28775.9</v>
      </c>
      <c r="BV21" s="226">
        <v>30639</v>
      </c>
      <c r="BW21" s="226">
        <v>27877.5</v>
      </c>
      <c r="BX21" s="226">
        <v>28062.6</v>
      </c>
      <c r="BY21" s="226">
        <v>34623.8</v>
      </c>
      <c r="BZ21" s="226">
        <v>33791.7</v>
      </c>
      <c r="CA21" s="226">
        <v>32076.5</v>
      </c>
      <c r="CB21" s="226">
        <v>30138.3</v>
      </c>
      <c r="CC21" s="226">
        <v>29664.2</v>
      </c>
      <c r="CD21" s="226">
        <v>25546.9</v>
      </c>
      <c r="CE21" s="226">
        <v>29309.2</v>
      </c>
      <c r="CF21" s="226">
        <v>41631.3</v>
      </c>
      <c r="CG21" s="226">
        <v>36012.6</v>
      </c>
      <c r="CH21" s="226">
        <v>37700.7</v>
      </c>
      <c r="CI21" s="226">
        <v>38780.7</v>
      </c>
      <c r="CJ21" s="226">
        <v>36135.5</v>
      </c>
      <c r="CK21" s="226">
        <v>36291.3</v>
      </c>
      <c r="CL21" s="226">
        <v>39370.5</v>
      </c>
      <c r="CM21" s="226">
        <v>36791.6</v>
      </c>
      <c r="CN21" s="226">
        <v>34583.7</v>
      </c>
      <c r="CO21" s="226">
        <v>33140.8</v>
      </c>
      <c r="CP21" s="226">
        <v>37569.1</v>
      </c>
      <c r="CQ21" s="226">
        <v>41629.9</v>
      </c>
      <c r="CR21" s="227">
        <v>52434.4</v>
      </c>
    </row>
    <row r="22" spans="1:96" ht="16.5" customHeight="1" hidden="1">
      <c r="A22" s="228" t="s">
        <v>19</v>
      </c>
      <c r="B22" s="212">
        <f aca="true" t="shared" si="17" ref="B22:AT22">SUM(B23:B38)</f>
        <v>25285.539999999997</v>
      </c>
      <c r="C22" s="212">
        <f t="shared" si="17"/>
        <v>33776.359149</v>
      </c>
      <c r="D22" s="212">
        <f t="shared" si="17"/>
        <v>43793.793999999994</v>
      </c>
      <c r="E22" s="212">
        <f t="shared" si="17"/>
        <v>51136.57999999999</v>
      </c>
      <c r="F22" s="212">
        <f t="shared" si="17"/>
        <v>55147.34</v>
      </c>
      <c r="G22" s="212">
        <f t="shared" si="17"/>
        <v>56381.83</v>
      </c>
      <c r="H22" s="212">
        <f t="shared" si="17"/>
        <v>59868.54558</v>
      </c>
      <c r="I22" s="212">
        <f t="shared" si="17"/>
        <v>76149.63</v>
      </c>
      <c r="J22" s="217">
        <f t="shared" si="17"/>
        <v>100556.44</v>
      </c>
      <c r="K22" s="217">
        <f t="shared" si="17"/>
        <v>136493.84000000003</v>
      </c>
      <c r="L22" s="217">
        <f t="shared" si="17"/>
        <v>182510.28999999998</v>
      </c>
      <c r="M22" s="217">
        <f t="shared" si="17"/>
        <v>178723</v>
      </c>
      <c r="N22" s="217">
        <f t="shared" si="17"/>
        <v>181494.61649999995</v>
      </c>
      <c r="O22" s="217">
        <f t="shared" si="17"/>
        <v>187476.459519</v>
      </c>
      <c r="P22" s="217">
        <f t="shared" si="17"/>
        <v>184007.58495999998</v>
      </c>
      <c r="Q22" s="217">
        <f t="shared" si="17"/>
        <v>189121.47608</v>
      </c>
      <c r="R22" s="217">
        <f t="shared" si="17"/>
        <v>202388.04461999997</v>
      </c>
      <c r="S22" s="217">
        <f t="shared" si="17"/>
        <v>192954.63157000003</v>
      </c>
      <c r="T22" s="217">
        <f t="shared" si="17"/>
        <v>195975.12888</v>
      </c>
      <c r="U22" s="217">
        <f t="shared" si="17"/>
        <v>200634.5</v>
      </c>
      <c r="V22" s="217">
        <f t="shared" si="17"/>
        <v>199580.80933</v>
      </c>
      <c r="W22" s="217">
        <f t="shared" si="17"/>
        <v>201455.63009</v>
      </c>
      <c r="X22" s="217">
        <f t="shared" si="17"/>
        <v>210388.63039999997</v>
      </c>
      <c r="Y22" s="217">
        <f t="shared" si="17"/>
        <v>207511.9</v>
      </c>
      <c r="Z22" s="217">
        <f t="shared" si="17"/>
        <v>217778.50000000003</v>
      </c>
      <c r="AA22" s="217">
        <f t="shared" si="17"/>
        <v>222624.09999999998</v>
      </c>
      <c r="AB22" s="217">
        <f t="shared" si="17"/>
        <v>223952.7</v>
      </c>
      <c r="AC22" s="217">
        <f t="shared" si="17"/>
        <v>224749.29999999996</v>
      </c>
      <c r="AD22" s="217">
        <f t="shared" si="17"/>
        <v>219100.9</v>
      </c>
      <c r="AE22" s="217">
        <f t="shared" si="17"/>
        <v>223454.6</v>
      </c>
      <c r="AF22" s="217">
        <f t="shared" si="17"/>
        <v>218464.40000000005</v>
      </c>
      <c r="AG22" s="217">
        <f t="shared" si="17"/>
        <v>222804.5</v>
      </c>
      <c r="AH22" s="217">
        <f t="shared" si="17"/>
        <v>225335.58604000002</v>
      </c>
      <c r="AI22" s="217">
        <f t="shared" si="17"/>
        <v>227302.00000000003</v>
      </c>
      <c r="AJ22" s="217">
        <f t="shared" si="17"/>
        <v>226841.9</v>
      </c>
      <c r="AK22" s="217">
        <f t="shared" si="17"/>
        <v>226822.26</v>
      </c>
      <c r="AL22" s="217">
        <f t="shared" si="17"/>
        <v>235942.1</v>
      </c>
      <c r="AM22" s="217">
        <f t="shared" si="17"/>
        <v>238452.69999999998</v>
      </c>
      <c r="AN22" s="217">
        <f t="shared" si="17"/>
        <v>238986.58000000002</v>
      </c>
      <c r="AO22" s="217">
        <f t="shared" si="17"/>
        <v>235516.09999999998</v>
      </c>
      <c r="AP22" s="217">
        <f t="shared" si="17"/>
        <v>239716.77000000002</v>
      </c>
      <c r="AQ22" s="217">
        <f t="shared" si="17"/>
        <v>237881.69999999998</v>
      </c>
      <c r="AR22" s="217">
        <f t="shared" si="17"/>
        <v>238895.50000000003</v>
      </c>
      <c r="AS22" s="217">
        <f t="shared" si="17"/>
        <v>246545.90000000002</v>
      </c>
      <c r="AT22" s="217">
        <f t="shared" si="17"/>
        <v>251459.30000000002</v>
      </c>
      <c r="AU22" s="217">
        <v>246739.2</v>
      </c>
      <c r="AV22" s="217">
        <f aca="true" t="shared" si="18" ref="AV22:CA22">SUM(AV23:AV38)</f>
        <v>252179.80000000002</v>
      </c>
      <c r="AW22" s="217">
        <f t="shared" si="18"/>
        <v>255987.17999999996</v>
      </c>
      <c r="AX22" s="217">
        <f t="shared" si="18"/>
        <v>259457.68000000002</v>
      </c>
      <c r="AY22" s="217">
        <f t="shared" si="18"/>
        <v>254545.90000000002</v>
      </c>
      <c r="AZ22" s="217">
        <f t="shared" si="18"/>
        <v>261542.1</v>
      </c>
      <c r="BA22" s="217">
        <f t="shared" si="18"/>
        <v>255580.18</v>
      </c>
      <c r="BB22" s="217">
        <f t="shared" si="18"/>
        <v>257060.69999999998</v>
      </c>
      <c r="BC22" s="217">
        <f t="shared" si="18"/>
        <v>255082.86000000002</v>
      </c>
      <c r="BD22" s="217">
        <f t="shared" si="18"/>
        <v>255443.59999999998</v>
      </c>
      <c r="BE22" s="217">
        <f t="shared" si="18"/>
        <v>253959.19999999998</v>
      </c>
      <c r="BF22" s="217">
        <f t="shared" si="18"/>
        <v>261718.58000000002</v>
      </c>
      <c r="BG22" s="217">
        <f t="shared" si="18"/>
        <v>265653.6</v>
      </c>
      <c r="BH22" s="217">
        <f t="shared" si="18"/>
        <v>280763.8</v>
      </c>
      <c r="BI22" s="217">
        <f t="shared" si="18"/>
        <v>268239.70000000007</v>
      </c>
      <c r="BJ22" s="217">
        <f t="shared" si="18"/>
        <v>272404.3</v>
      </c>
      <c r="BK22" s="217">
        <f t="shared" si="18"/>
        <v>268935.10000000003</v>
      </c>
      <c r="BL22" s="217">
        <f t="shared" si="18"/>
        <v>265250.9</v>
      </c>
      <c r="BM22" s="217">
        <f t="shared" si="18"/>
        <v>266229.1</v>
      </c>
      <c r="BN22" s="217">
        <f t="shared" si="18"/>
        <v>273834.7</v>
      </c>
      <c r="BO22" s="217">
        <f t="shared" si="18"/>
        <v>268640.80000000005</v>
      </c>
      <c r="BP22" s="217">
        <f t="shared" si="18"/>
        <v>270339.89999999997</v>
      </c>
      <c r="BQ22" s="217">
        <f t="shared" si="18"/>
        <v>272131.39999999997</v>
      </c>
      <c r="BR22" s="217">
        <f t="shared" si="18"/>
        <v>277077.80000000005</v>
      </c>
      <c r="BS22" s="217">
        <f t="shared" si="18"/>
        <v>281841.00000000006</v>
      </c>
      <c r="BT22" s="217">
        <f t="shared" si="18"/>
        <v>299142.6</v>
      </c>
      <c r="BU22" s="217">
        <f t="shared" si="18"/>
        <v>290246.0999999999</v>
      </c>
      <c r="BV22" s="217">
        <f t="shared" si="18"/>
        <v>294597.55</v>
      </c>
      <c r="BW22" s="217">
        <f t="shared" si="18"/>
        <v>293582.37</v>
      </c>
      <c r="BX22" s="217">
        <f t="shared" si="18"/>
        <v>297926.19999999995</v>
      </c>
      <c r="BY22" s="217">
        <f t="shared" si="18"/>
        <v>306275.48</v>
      </c>
      <c r="BZ22" s="217">
        <f t="shared" si="18"/>
        <v>302421.1</v>
      </c>
      <c r="CA22" s="217">
        <f t="shared" si="18"/>
        <v>300994.8</v>
      </c>
      <c r="CB22" s="217">
        <f aca="true" t="shared" si="19" ref="CB22:CM22">SUM(CB23:CB38)</f>
        <v>296362.8</v>
      </c>
      <c r="CC22" s="217">
        <f t="shared" si="19"/>
        <v>298090.60000000003</v>
      </c>
      <c r="CD22" s="217">
        <f t="shared" si="19"/>
        <v>303627.5</v>
      </c>
      <c r="CE22" s="217">
        <f t="shared" si="19"/>
        <v>309343.80000000005</v>
      </c>
      <c r="CF22" s="217">
        <f t="shared" si="19"/>
        <v>323482.1</v>
      </c>
      <c r="CG22" s="217">
        <f t="shared" si="19"/>
        <v>317877.3</v>
      </c>
      <c r="CH22" s="217">
        <f t="shared" si="19"/>
        <v>322256.7</v>
      </c>
      <c r="CI22" s="217">
        <f t="shared" si="19"/>
        <v>326781</v>
      </c>
      <c r="CJ22" s="217">
        <f t="shared" si="19"/>
        <v>326123.8</v>
      </c>
      <c r="CK22" s="217">
        <f t="shared" si="19"/>
        <v>337023.2</v>
      </c>
      <c r="CL22" s="217">
        <f t="shared" si="19"/>
        <v>336593.39999999997</v>
      </c>
      <c r="CM22" s="217">
        <f t="shared" si="19"/>
        <v>330993.9</v>
      </c>
      <c r="CN22" s="217">
        <f>SUM(CN23:CN38)</f>
        <v>333090.50000000006</v>
      </c>
      <c r="CO22" s="217">
        <f>SUM(CO23:CO38)</f>
        <v>328871.2</v>
      </c>
      <c r="CP22" s="217">
        <f>SUM(CP23:CP38)</f>
        <v>337195.7</v>
      </c>
      <c r="CQ22" s="217">
        <f>SUM(CQ23:CQ38)</f>
        <v>342564.54999999993</v>
      </c>
      <c r="CR22" s="229">
        <f>SUM(CR23:CR38)</f>
        <v>352996.8</v>
      </c>
    </row>
    <row r="23" spans="1:96" ht="16.5" customHeight="1" hidden="1">
      <c r="A23" s="230" t="s">
        <v>20</v>
      </c>
      <c r="B23" s="213">
        <v>6422.7</v>
      </c>
      <c r="C23" s="213">
        <v>7781.8</v>
      </c>
      <c r="D23" s="213">
        <v>9233.6</v>
      </c>
      <c r="E23" s="213">
        <v>9245.2</v>
      </c>
      <c r="F23" s="213">
        <v>11180.2</v>
      </c>
      <c r="G23" s="213">
        <v>12908</v>
      </c>
      <c r="H23" s="213">
        <v>24461.8</v>
      </c>
      <c r="I23" s="213">
        <f>40473.6+26.6</f>
        <v>40500.2</v>
      </c>
      <c r="J23" s="218">
        <v>60024.77</v>
      </c>
      <c r="K23" s="218">
        <v>64302</v>
      </c>
      <c r="L23" s="219">
        <v>82628.67</v>
      </c>
      <c r="M23" s="219">
        <v>79925.5</v>
      </c>
      <c r="N23" s="219">
        <v>83993.0015</v>
      </c>
      <c r="O23" s="219">
        <v>87143.764697</v>
      </c>
      <c r="P23" s="219">
        <v>85449.9924</v>
      </c>
      <c r="Q23" s="220">
        <v>85312.60184</v>
      </c>
      <c r="R23" s="219">
        <v>91364.77415</v>
      </c>
      <c r="S23" s="220">
        <v>90617.74542</v>
      </c>
      <c r="T23" s="219">
        <v>94187.45136</v>
      </c>
      <c r="U23" s="219">
        <v>94783.4</v>
      </c>
      <c r="V23" s="220">
        <v>94796.39115</v>
      </c>
      <c r="W23" s="219">
        <v>94936.44005</v>
      </c>
      <c r="X23" s="219">
        <v>101241.2</v>
      </c>
      <c r="Y23" s="219">
        <v>98158.4</v>
      </c>
      <c r="Z23" s="219">
        <v>104104.6</v>
      </c>
      <c r="AA23" s="219">
        <v>105736.3</v>
      </c>
      <c r="AB23" s="219">
        <v>106363.1</v>
      </c>
      <c r="AC23" s="219">
        <v>106761.2</v>
      </c>
      <c r="AD23" s="219">
        <v>101022.2</v>
      </c>
      <c r="AE23" s="219">
        <v>101826.7</v>
      </c>
      <c r="AF23" s="219">
        <v>100318.5</v>
      </c>
      <c r="AG23" s="219">
        <v>99979</v>
      </c>
      <c r="AH23" s="219">
        <v>100270.08548</v>
      </c>
      <c r="AI23" s="219">
        <v>97732.9</v>
      </c>
      <c r="AJ23" s="219">
        <v>99439.1</v>
      </c>
      <c r="AK23" s="219">
        <v>99783.7</v>
      </c>
      <c r="AL23" s="219">
        <v>103672.5</v>
      </c>
      <c r="AM23" s="219">
        <v>104869.8</v>
      </c>
      <c r="AN23" s="219">
        <v>105997.4</v>
      </c>
      <c r="AO23" s="219">
        <v>101637</v>
      </c>
      <c r="AP23" s="219">
        <v>103298.7</v>
      </c>
      <c r="AQ23" s="219">
        <v>102195.9</v>
      </c>
      <c r="AR23" s="219">
        <v>103428.65</v>
      </c>
      <c r="AS23" s="219">
        <v>104796.1</v>
      </c>
      <c r="AT23" s="219">
        <v>104757.9</v>
      </c>
      <c r="AU23" s="219">
        <v>106384.8</v>
      </c>
      <c r="AV23" s="219">
        <v>111762.1</v>
      </c>
      <c r="AW23" s="219">
        <v>107289.34</v>
      </c>
      <c r="AX23" s="219">
        <v>111294.7</v>
      </c>
      <c r="AY23" s="219">
        <v>107760.25</v>
      </c>
      <c r="AZ23" s="219">
        <v>109668.3</v>
      </c>
      <c r="BA23" s="219">
        <v>111480.64</v>
      </c>
      <c r="BB23" s="219">
        <v>113040.8</v>
      </c>
      <c r="BC23" s="219">
        <v>109895.3</v>
      </c>
      <c r="BD23" s="219">
        <v>109823.7</v>
      </c>
      <c r="BE23" s="219">
        <v>108147.2</v>
      </c>
      <c r="BF23" s="219">
        <v>112347.6</v>
      </c>
      <c r="BG23" s="219">
        <v>113790.1</v>
      </c>
      <c r="BH23" s="219">
        <v>126434.7</v>
      </c>
      <c r="BI23" s="219">
        <v>120235.2</v>
      </c>
      <c r="BJ23" s="219">
        <v>125380.6</v>
      </c>
      <c r="BK23" s="219">
        <v>127456.2</v>
      </c>
      <c r="BL23" s="219">
        <v>125140.2</v>
      </c>
      <c r="BM23" s="219">
        <v>125273.1</v>
      </c>
      <c r="BN23" s="219">
        <v>129325.2</v>
      </c>
      <c r="BO23" s="219">
        <v>129716.6</v>
      </c>
      <c r="BP23" s="219">
        <v>131689.7</v>
      </c>
      <c r="BQ23" s="219">
        <v>134182.4</v>
      </c>
      <c r="BR23" s="219">
        <v>129449.3</v>
      </c>
      <c r="BS23" s="219">
        <v>133011.3</v>
      </c>
      <c r="BT23" s="219">
        <v>148073.45</v>
      </c>
      <c r="BU23" s="219">
        <v>139167.8</v>
      </c>
      <c r="BV23" s="219">
        <v>145002</v>
      </c>
      <c r="BW23" s="219">
        <v>144221.7</v>
      </c>
      <c r="BX23" s="219">
        <v>148564.6</v>
      </c>
      <c r="BY23" s="219">
        <v>151075.9</v>
      </c>
      <c r="BZ23" s="219">
        <v>153976.4</v>
      </c>
      <c r="CA23" s="219">
        <v>154562.5</v>
      </c>
      <c r="CB23" s="219">
        <v>150866.7</v>
      </c>
      <c r="CC23" s="219">
        <v>152881.6</v>
      </c>
      <c r="CD23" s="219">
        <v>152088.4</v>
      </c>
      <c r="CE23" s="219">
        <v>156837.9</v>
      </c>
      <c r="CF23" s="219">
        <v>170582.2</v>
      </c>
      <c r="CG23" s="219">
        <v>166844.4</v>
      </c>
      <c r="CH23" s="219">
        <v>170931.1</v>
      </c>
      <c r="CI23" s="219">
        <v>174820.7</v>
      </c>
      <c r="CJ23" s="219">
        <v>174533.3</v>
      </c>
      <c r="CK23" s="219">
        <v>177133.5</v>
      </c>
      <c r="CL23" s="219">
        <v>177778.8</v>
      </c>
      <c r="CM23" s="219">
        <v>172960.4</v>
      </c>
      <c r="CN23" s="219">
        <v>172361.8</v>
      </c>
      <c r="CO23" s="219">
        <v>173113.3</v>
      </c>
      <c r="CP23" s="219">
        <v>176755.4</v>
      </c>
      <c r="CQ23" s="219">
        <v>181404.3</v>
      </c>
      <c r="CR23" s="231">
        <v>192057.4</v>
      </c>
    </row>
    <row r="24" spans="1:96" ht="16.5" customHeight="1" hidden="1">
      <c r="A24" s="230" t="s">
        <v>21</v>
      </c>
      <c r="B24" s="214">
        <f>(6269.8+3677)+998.4</f>
        <v>10945.199999999999</v>
      </c>
      <c r="C24" s="215">
        <f>5187.6+7520+1395.8</f>
        <v>14103.4</v>
      </c>
      <c r="D24" s="213">
        <f>8103.14+6547.9+2527.6</f>
        <v>17178.64</v>
      </c>
      <c r="E24" s="213">
        <f>6714.65+7577.9+1982.86</f>
        <v>16275.41</v>
      </c>
      <c r="F24" s="213">
        <f>6520.9+7562.15+3061.7</f>
        <v>17144.75</v>
      </c>
      <c r="G24" s="213">
        <f>6653.49+7494.9+3178.8</f>
        <v>17327.19</v>
      </c>
      <c r="H24" s="213">
        <f>5047.16+4330.73+1358.3</f>
        <v>10736.189999999999</v>
      </c>
      <c r="I24" s="213">
        <f>1243.9+8060.91+2.6</f>
        <v>9307.41</v>
      </c>
      <c r="J24" s="218">
        <f>1417.3+7810.21</f>
        <v>9227.51</v>
      </c>
      <c r="K24" s="218">
        <f>1484.3+7144.76</f>
        <v>8629.06</v>
      </c>
      <c r="L24" s="219">
        <v>8458.15</v>
      </c>
      <c r="M24" s="219">
        <v>8158.9</v>
      </c>
      <c r="N24" s="219">
        <v>7959.06</v>
      </c>
      <c r="O24" s="219">
        <v>7510.389712</v>
      </c>
      <c r="P24" s="219">
        <v>6940.63368</v>
      </c>
      <c r="Q24" s="220">
        <v>7118.91072</v>
      </c>
      <c r="R24" s="219">
        <v>5999.8783</v>
      </c>
      <c r="S24" s="220">
        <v>6073.53728</v>
      </c>
      <c r="T24" s="219">
        <v>5918.40072</v>
      </c>
      <c r="U24" s="219">
        <v>6400.7</v>
      </c>
      <c r="V24" s="220">
        <v>5837.01078</v>
      </c>
      <c r="W24" s="219">
        <v>6041.60924</v>
      </c>
      <c r="X24" s="219">
        <v>6091.65</v>
      </c>
      <c r="Y24" s="219">
        <v>5997.2</v>
      </c>
      <c r="Z24" s="219">
        <v>10689.3</v>
      </c>
      <c r="AA24" s="219">
        <v>13165.8</v>
      </c>
      <c r="AB24" s="219">
        <v>13181.1</v>
      </c>
      <c r="AC24" s="219">
        <v>14116.6</v>
      </c>
      <c r="AD24" s="219">
        <v>13869.5</v>
      </c>
      <c r="AE24" s="219">
        <v>14559.4</v>
      </c>
      <c r="AF24" s="219">
        <v>13805.6</v>
      </c>
      <c r="AG24" s="219">
        <v>13491.9</v>
      </c>
      <c r="AH24" s="219">
        <v>13370.70486</v>
      </c>
      <c r="AI24" s="219">
        <v>13141.6</v>
      </c>
      <c r="AJ24" s="219">
        <v>12661.8</v>
      </c>
      <c r="AK24" s="219">
        <v>12176.2</v>
      </c>
      <c r="AL24" s="219">
        <v>17501.9</v>
      </c>
      <c r="AM24" s="219">
        <v>17950.6</v>
      </c>
      <c r="AN24" s="219">
        <v>17075.3</v>
      </c>
      <c r="AO24" s="219">
        <v>17300.15</v>
      </c>
      <c r="AP24" s="219">
        <v>17497.9</v>
      </c>
      <c r="AQ24" s="219">
        <v>16968.6</v>
      </c>
      <c r="AR24" s="219">
        <v>17075.25</v>
      </c>
      <c r="AS24" s="219">
        <v>16756.6</v>
      </c>
      <c r="AT24" s="219">
        <v>16370.5</v>
      </c>
      <c r="AU24" s="219">
        <v>16330.4</v>
      </c>
      <c r="AV24" s="219">
        <v>16269.2</v>
      </c>
      <c r="AW24" s="219">
        <v>23189.74</v>
      </c>
      <c r="AX24" s="219">
        <v>22710.3</v>
      </c>
      <c r="AY24" s="219">
        <v>22362.65</v>
      </c>
      <c r="AZ24" s="219">
        <v>22187.6</v>
      </c>
      <c r="BA24" s="219">
        <v>22161.4</v>
      </c>
      <c r="BB24" s="219">
        <v>22013</v>
      </c>
      <c r="BC24" s="219">
        <v>22589.24</v>
      </c>
      <c r="BD24" s="219">
        <v>22848.6</v>
      </c>
      <c r="BE24" s="219">
        <v>23797.5</v>
      </c>
      <c r="BF24" s="219">
        <v>23758.5</v>
      </c>
      <c r="BG24" s="219">
        <v>23916.7</v>
      </c>
      <c r="BH24" s="219">
        <v>24796.2</v>
      </c>
      <c r="BI24" s="219">
        <v>26294.8</v>
      </c>
      <c r="BJ24" s="219">
        <v>26467.9</v>
      </c>
      <c r="BK24" s="219">
        <v>27441.6</v>
      </c>
      <c r="BL24" s="219">
        <v>26258</v>
      </c>
      <c r="BM24" s="219">
        <v>26711.4</v>
      </c>
      <c r="BN24" s="219">
        <v>26385.2</v>
      </c>
      <c r="BO24" s="219">
        <v>26482</v>
      </c>
      <c r="BP24" s="219">
        <v>25976.1</v>
      </c>
      <c r="BQ24" s="219">
        <v>25759</v>
      </c>
      <c r="BR24" s="219">
        <v>26246.9</v>
      </c>
      <c r="BS24" s="219">
        <v>27211</v>
      </c>
      <c r="BT24" s="219">
        <v>26858.85</v>
      </c>
      <c r="BU24" s="219">
        <v>26850.9</v>
      </c>
      <c r="BV24" s="219">
        <v>26433.93</v>
      </c>
      <c r="BW24" s="219">
        <v>25273.2</v>
      </c>
      <c r="BX24" s="219">
        <v>25126.9</v>
      </c>
      <c r="BY24" s="219">
        <v>25729.6</v>
      </c>
      <c r="BZ24" s="219">
        <v>25854.4</v>
      </c>
      <c r="CA24" s="219">
        <v>25555.6</v>
      </c>
      <c r="CB24" s="219">
        <v>25325.3</v>
      </c>
      <c r="CC24" s="219">
        <v>25157.7</v>
      </c>
      <c r="CD24" s="219">
        <v>25906.4</v>
      </c>
      <c r="CE24" s="219">
        <v>26697.1</v>
      </c>
      <c r="CF24" s="219">
        <v>26930.6</v>
      </c>
      <c r="CG24" s="219">
        <v>26267.1</v>
      </c>
      <c r="CH24" s="219">
        <v>26546.4</v>
      </c>
      <c r="CI24" s="219">
        <v>26471.5</v>
      </c>
      <c r="CJ24" s="219">
        <v>25679.8</v>
      </c>
      <c r="CK24" s="219">
        <v>25170.4</v>
      </c>
      <c r="CL24" s="219">
        <v>24556</v>
      </c>
      <c r="CM24" s="219">
        <v>23893.4</v>
      </c>
      <c r="CN24" s="219">
        <v>23698.5</v>
      </c>
      <c r="CO24" s="219">
        <v>23826.6</v>
      </c>
      <c r="CP24" s="219">
        <v>24099.4</v>
      </c>
      <c r="CQ24" s="219">
        <v>23847.9</v>
      </c>
      <c r="CR24" s="231">
        <v>23657.8</v>
      </c>
    </row>
    <row r="25" spans="1:96" ht="16.5" customHeight="1" hidden="1">
      <c r="A25" s="230" t="s">
        <v>22</v>
      </c>
      <c r="B25" s="214">
        <f>1297.1+503.45+31.8</f>
        <v>1832.35</v>
      </c>
      <c r="C25" s="215">
        <f>476.5+172.83+7.8</f>
        <v>657.13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8">
        <v>0</v>
      </c>
      <c r="K25" s="218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20">
        <v>0</v>
      </c>
      <c r="R25" s="219">
        <v>0</v>
      </c>
      <c r="S25" s="220">
        <v>0</v>
      </c>
      <c r="T25" s="219">
        <v>0</v>
      </c>
      <c r="U25" s="219">
        <v>0</v>
      </c>
      <c r="V25" s="220">
        <v>0</v>
      </c>
      <c r="W25" s="219">
        <v>0</v>
      </c>
      <c r="X25" s="219">
        <v>0</v>
      </c>
      <c r="Y25" s="219">
        <v>0</v>
      </c>
      <c r="Z25" s="219">
        <v>0</v>
      </c>
      <c r="AA25" s="219">
        <v>0</v>
      </c>
      <c r="AB25" s="219">
        <v>0</v>
      </c>
      <c r="AC25" s="219">
        <v>0</v>
      </c>
      <c r="AD25" s="219">
        <v>0</v>
      </c>
      <c r="AE25" s="219">
        <v>0</v>
      </c>
      <c r="AF25" s="219">
        <v>0</v>
      </c>
      <c r="AG25" s="219">
        <v>0</v>
      </c>
      <c r="AH25" s="219">
        <v>0</v>
      </c>
      <c r="AI25" s="219">
        <v>0</v>
      </c>
      <c r="AJ25" s="219">
        <v>0</v>
      </c>
      <c r="AK25" s="219">
        <v>0</v>
      </c>
      <c r="AL25" s="219">
        <v>0</v>
      </c>
      <c r="AM25" s="219">
        <v>0</v>
      </c>
      <c r="AN25" s="219">
        <v>0</v>
      </c>
      <c r="AO25" s="219">
        <v>0</v>
      </c>
      <c r="AP25" s="219">
        <v>0</v>
      </c>
      <c r="AQ25" s="219">
        <v>0</v>
      </c>
      <c r="AR25" s="219">
        <v>0</v>
      </c>
      <c r="AS25" s="219">
        <v>0</v>
      </c>
      <c r="AT25" s="219">
        <v>0</v>
      </c>
      <c r="AU25" s="219">
        <v>0</v>
      </c>
      <c r="AV25" s="219">
        <v>0</v>
      </c>
      <c r="AW25" s="219">
        <v>0</v>
      </c>
      <c r="AX25" s="219">
        <v>0</v>
      </c>
      <c r="AY25" s="219">
        <v>0</v>
      </c>
      <c r="AZ25" s="219">
        <v>0</v>
      </c>
      <c r="BA25" s="219">
        <v>0</v>
      </c>
      <c r="BB25" s="219">
        <v>0</v>
      </c>
      <c r="BC25" s="219">
        <v>0</v>
      </c>
      <c r="BD25" s="219">
        <v>0</v>
      </c>
      <c r="BE25" s="219">
        <v>0</v>
      </c>
      <c r="BF25" s="219">
        <v>0</v>
      </c>
      <c r="BG25" s="219">
        <v>0</v>
      </c>
      <c r="BH25" s="219">
        <v>0</v>
      </c>
      <c r="BI25" s="219">
        <v>0</v>
      </c>
      <c r="BJ25" s="219">
        <v>0</v>
      </c>
      <c r="BK25" s="219">
        <v>0</v>
      </c>
      <c r="BL25" s="219">
        <v>0</v>
      </c>
      <c r="BM25" s="219">
        <v>0</v>
      </c>
      <c r="BN25" s="219">
        <v>0</v>
      </c>
      <c r="BO25" s="219">
        <v>0</v>
      </c>
      <c r="BP25" s="219">
        <v>0</v>
      </c>
      <c r="BQ25" s="219">
        <v>0</v>
      </c>
      <c r="BR25" s="219">
        <v>0</v>
      </c>
      <c r="BS25" s="219">
        <v>0</v>
      </c>
      <c r="BT25" s="219">
        <v>0</v>
      </c>
      <c r="BU25" s="219">
        <v>0</v>
      </c>
      <c r="BV25" s="219">
        <v>0</v>
      </c>
      <c r="BW25" s="219">
        <v>0</v>
      </c>
      <c r="BX25" s="219">
        <v>0</v>
      </c>
      <c r="BY25" s="219">
        <v>0</v>
      </c>
      <c r="BZ25" s="219">
        <v>0</v>
      </c>
      <c r="CA25" s="219">
        <v>0</v>
      </c>
      <c r="CB25" s="219">
        <v>0</v>
      </c>
      <c r="CC25" s="219">
        <v>0</v>
      </c>
      <c r="CD25" s="219">
        <v>0</v>
      </c>
      <c r="CE25" s="219">
        <v>0</v>
      </c>
      <c r="CF25" s="219">
        <v>0</v>
      </c>
      <c r="CG25" s="219">
        <v>0</v>
      </c>
      <c r="CH25" s="219">
        <v>0</v>
      </c>
      <c r="CI25" s="219">
        <v>0</v>
      </c>
      <c r="CJ25" s="219">
        <v>0</v>
      </c>
      <c r="CK25" s="219">
        <v>0</v>
      </c>
      <c r="CL25" s="219">
        <v>0</v>
      </c>
      <c r="CM25" s="219">
        <v>0</v>
      </c>
      <c r="CN25" s="219">
        <v>0</v>
      </c>
      <c r="CO25" s="219">
        <v>0</v>
      </c>
      <c r="CP25" s="219">
        <v>0</v>
      </c>
      <c r="CQ25" s="219">
        <v>0</v>
      </c>
      <c r="CR25" s="231">
        <v>0</v>
      </c>
    </row>
    <row r="26" spans="1:96" ht="16.5" customHeight="1" hidden="1">
      <c r="A26" s="230" t="s">
        <v>23</v>
      </c>
      <c r="B26" s="214">
        <f>611.3+2091.7</f>
        <v>2703</v>
      </c>
      <c r="C26" s="215">
        <f>1615.48+6563.6</f>
        <v>8179.08</v>
      </c>
      <c r="D26" s="213">
        <f>11023.5+3644.3</f>
        <v>14667.8</v>
      </c>
      <c r="E26" s="213">
        <f>16152.2+4987.9+282.1</f>
        <v>21422.199999999997</v>
      </c>
      <c r="F26" s="213">
        <f>16598.76+6083.3+169.5</f>
        <v>22851.559999999998</v>
      </c>
      <c r="G26" s="213">
        <f>6694.27+15240.31+41</f>
        <v>21975.58</v>
      </c>
      <c r="H26" s="213">
        <f>6871.14+14451.04+7.1</f>
        <v>21329.28</v>
      </c>
      <c r="I26" s="213">
        <f>156.9+23201.91</f>
        <v>23358.81</v>
      </c>
      <c r="J26" s="218">
        <f>168.6+27934.15</f>
        <v>28102.75</v>
      </c>
      <c r="K26" s="218">
        <f>18697.3+37948.8</f>
        <v>56646.100000000006</v>
      </c>
      <c r="L26" s="219">
        <v>78118.8</v>
      </c>
      <c r="M26" s="219">
        <v>77640.8</v>
      </c>
      <c r="N26" s="219">
        <v>76707.037</v>
      </c>
      <c r="O26" s="219">
        <v>80600.383676</v>
      </c>
      <c r="P26" s="219">
        <v>79782.0492</v>
      </c>
      <c r="Q26" s="220">
        <v>84468.90696</v>
      </c>
      <c r="R26" s="219">
        <v>92541.26537</v>
      </c>
      <c r="S26" s="220">
        <v>83541.17678</v>
      </c>
      <c r="T26" s="219">
        <v>83285.3328</v>
      </c>
      <c r="U26" s="219">
        <v>86020.9</v>
      </c>
      <c r="V26" s="220">
        <v>85918.72393</v>
      </c>
      <c r="W26" s="219">
        <v>86912.56996</v>
      </c>
      <c r="X26" s="219">
        <v>89349.75</v>
      </c>
      <c r="Y26" s="219">
        <v>89624.5</v>
      </c>
      <c r="Z26" s="219">
        <v>89654</v>
      </c>
      <c r="AA26" s="219">
        <v>90315.4</v>
      </c>
      <c r="AB26" s="219">
        <v>90726.8</v>
      </c>
      <c r="AC26" s="219">
        <v>89368</v>
      </c>
      <c r="AD26" s="219">
        <v>89923.1</v>
      </c>
      <c r="AE26" s="219">
        <v>92033.8</v>
      </c>
      <c r="AF26" s="219">
        <v>89950.8</v>
      </c>
      <c r="AG26" s="219">
        <v>94964.6</v>
      </c>
      <c r="AH26" s="219">
        <v>97495.02022</v>
      </c>
      <c r="AI26" s="219">
        <v>102420.45</v>
      </c>
      <c r="AJ26" s="219">
        <v>101873.7</v>
      </c>
      <c r="AK26" s="219">
        <v>102601.5</v>
      </c>
      <c r="AL26" s="219">
        <v>102358.8</v>
      </c>
      <c r="AM26" s="219">
        <v>103485.5</v>
      </c>
      <c r="AN26" s="219">
        <v>104268.3</v>
      </c>
      <c r="AO26" s="219">
        <v>105560.75</v>
      </c>
      <c r="AP26" s="219">
        <v>108307.7</v>
      </c>
      <c r="AQ26" s="219">
        <v>108310.9</v>
      </c>
      <c r="AR26" s="219">
        <v>108603.8</v>
      </c>
      <c r="AS26" s="219">
        <v>115796.7</v>
      </c>
      <c r="AT26" s="219">
        <v>121291.6</v>
      </c>
      <c r="AU26" s="219">
        <v>115709.7</v>
      </c>
      <c r="AV26" s="219">
        <v>116459.1</v>
      </c>
      <c r="AW26" s="219">
        <v>117686.4</v>
      </c>
      <c r="AX26" s="219">
        <v>118414.1</v>
      </c>
      <c r="AY26" s="219">
        <v>118033.5</v>
      </c>
      <c r="AZ26" s="219">
        <v>123288</v>
      </c>
      <c r="BA26" s="219">
        <v>116190.14</v>
      </c>
      <c r="BB26" s="219">
        <v>116857.5</v>
      </c>
      <c r="BC26" s="219">
        <v>117375.34</v>
      </c>
      <c r="BD26" s="219">
        <v>118223.6</v>
      </c>
      <c r="BE26" s="219">
        <v>118003.3</v>
      </c>
      <c r="BF26" s="219">
        <v>121636.8</v>
      </c>
      <c r="BG26" s="219">
        <v>124768.1</v>
      </c>
      <c r="BH26" s="219">
        <v>126304.5</v>
      </c>
      <c r="BI26" s="219">
        <v>118330.4</v>
      </c>
      <c r="BJ26" s="219">
        <v>117945.8</v>
      </c>
      <c r="BK26" s="219">
        <v>111385.7</v>
      </c>
      <c r="BL26" s="219">
        <v>111252</v>
      </c>
      <c r="BM26" s="219">
        <v>111690.1</v>
      </c>
      <c r="BN26" s="219">
        <v>115622.3</v>
      </c>
      <c r="BO26" s="219">
        <v>109985.3</v>
      </c>
      <c r="BP26" s="219">
        <v>110235.2</v>
      </c>
      <c r="BQ26" s="219">
        <v>109780.2</v>
      </c>
      <c r="BR26" s="219">
        <v>118895.6</v>
      </c>
      <c r="BS26" s="219">
        <v>119084.1</v>
      </c>
      <c r="BT26" s="219">
        <v>121707.9</v>
      </c>
      <c r="BU26" s="219">
        <v>121743</v>
      </c>
      <c r="BV26" s="219">
        <v>120571.74</v>
      </c>
      <c r="BW26" s="219">
        <v>121611.2</v>
      </c>
      <c r="BX26" s="219">
        <v>121645</v>
      </c>
      <c r="BY26" s="219">
        <v>126913.3</v>
      </c>
      <c r="BZ26" s="219">
        <v>119887.3</v>
      </c>
      <c r="CA26" s="219">
        <v>118224.8</v>
      </c>
      <c r="CB26" s="219">
        <v>117542.3</v>
      </c>
      <c r="CC26" s="219">
        <v>117436.5</v>
      </c>
      <c r="CD26" s="219">
        <v>123021.2</v>
      </c>
      <c r="CE26" s="219">
        <v>123268.4</v>
      </c>
      <c r="CF26" s="219">
        <v>123498.2</v>
      </c>
      <c r="CG26" s="219">
        <v>122293.7</v>
      </c>
      <c r="CH26" s="219">
        <v>122267.8</v>
      </c>
      <c r="CI26" s="219">
        <v>123030.8</v>
      </c>
      <c r="CJ26" s="219">
        <v>123517.1</v>
      </c>
      <c r="CK26" s="219">
        <v>132349.6</v>
      </c>
      <c r="CL26" s="219">
        <v>131984.4</v>
      </c>
      <c r="CM26" s="219">
        <v>131888.1</v>
      </c>
      <c r="CN26" s="219">
        <v>134812.1</v>
      </c>
      <c r="CO26" s="219">
        <v>129757</v>
      </c>
      <c r="CP26" s="219">
        <v>134160.8</v>
      </c>
      <c r="CQ26" s="219">
        <v>135127.35</v>
      </c>
      <c r="CR26" s="231">
        <v>135154</v>
      </c>
    </row>
    <row r="27" spans="1:96" ht="16.5" customHeight="1" hidden="1">
      <c r="A27" s="230" t="s">
        <v>24</v>
      </c>
      <c r="B27" s="214">
        <f>919.7+230.7</f>
        <v>1150.4</v>
      </c>
      <c r="C27" s="215">
        <f>1098.95+122.1</f>
        <v>1221.05</v>
      </c>
      <c r="D27" s="213">
        <v>1425.81</v>
      </c>
      <c r="E27" s="213">
        <v>1951.5</v>
      </c>
      <c r="F27" s="213">
        <v>1287.6</v>
      </c>
      <c r="G27" s="213">
        <v>810.9</v>
      </c>
      <c r="H27" s="213">
        <v>331.5</v>
      </c>
      <c r="I27" s="213">
        <v>35.43</v>
      </c>
      <c r="J27" s="218">
        <f>35.96-15.5</f>
        <v>20.46</v>
      </c>
      <c r="K27" s="218">
        <v>3984.67</v>
      </c>
      <c r="L27" s="219">
        <v>9645.9</v>
      </c>
      <c r="M27" s="219">
        <v>9450.1</v>
      </c>
      <c r="N27" s="219">
        <v>9357.3</v>
      </c>
      <c r="O27" s="219">
        <v>8978.20043</v>
      </c>
      <c r="P27" s="219">
        <v>8682.95384</v>
      </c>
      <c r="Q27" s="220">
        <v>8957.38296</v>
      </c>
      <c r="R27" s="219">
        <v>9126.17914</v>
      </c>
      <c r="S27" s="220">
        <v>9269.71983</v>
      </c>
      <c r="T27" s="219">
        <v>9179.52264</v>
      </c>
      <c r="U27" s="219">
        <v>9754</v>
      </c>
      <c r="V27" s="220">
        <v>9493.13579</v>
      </c>
      <c r="W27" s="219">
        <v>9878.9991</v>
      </c>
      <c r="X27" s="219">
        <v>9977</v>
      </c>
      <c r="Y27" s="219">
        <v>9978.7</v>
      </c>
      <c r="Z27" s="219">
        <v>9797.4</v>
      </c>
      <c r="AA27" s="219">
        <v>9896.3</v>
      </c>
      <c r="AB27" s="219">
        <v>10035.7</v>
      </c>
      <c r="AC27" s="219">
        <v>10572.3</v>
      </c>
      <c r="AD27" s="219">
        <v>10445.4</v>
      </c>
      <c r="AE27" s="219">
        <v>10930.5</v>
      </c>
      <c r="AF27" s="219">
        <v>10506.6</v>
      </c>
      <c r="AG27" s="219">
        <v>10522.2</v>
      </c>
      <c r="AH27" s="219">
        <v>10457.74048</v>
      </c>
      <c r="AI27" s="219">
        <v>10360.85</v>
      </c>
      <c r="AJ27" s="219">
        <v>9522.3</v>
      </c>
      <c r="AK27" s="219">
        <v>9167.9</v>
      </c>
      <c r="AL27" s="219">
        <v>9285.4</v>
      </c>
      <c r="AM27" s="219">
        <v>8946.5</v>
      </c>
      <c r="AN27" s="219">
        <v>8644.4</v>
      </c>
      <c r="AO27" s="219">
        <v>8058.5</v>
      </c>
      <c r="AP27" s="219">
        <v>7643.7</v>
      </c>
      <c r="AQ27" s="219">
        <v>7477.1</v>
      </c>
      <c r="AR27" s="219">
        <v>6867.6</v>
      </c>
      <c r="AS27" s="219">
        <v>6311.5</v>
      </c>
      <c r="AT27" s="219">
        <v>6215.7</v>
      </c>
      <c r="AU27" s="219">
        <v>5557.7</v>
      </c>
      <c r="AV27" s="219">
        <v>5047.7</v>
      </c>
      <c r="AW27" s="219">
        <v>5103.7</v>
      </c>
      <c r="AX27" s="219">
        <v>4371.7</v>
      </c>
      <c r="AY27" s="219">
        <v>3786.6</v>
      </c>
      <c r="AZ27" s="219">
        <v>3783.2</v>
      </c>
      <c r="BA27" s="219">
        <v>3098.8</v>
      </c>
      <c r="BB27" s="219">
        <v>2559.4</v>
      </c>
      <c r="BC27" s="219">
        <v>2604.4</v>
      </c>
      <c r="BD27" s="219">
        <v>1927.9</v>
      </c>
      <c r="BE27" s="219">
        <v>1412</v>
      </c>
      <c r="BF27" s="219">
        <v>1410.2</v>
      </c>
      <c r="BG27" s="219">
        <v>706.6</v>
      </c>
      <c r="BH27" s="219">
        <v>743.6</v>
      </c>
      <c r="BI27" s="219">
        <v>750.8</v>
      </c>
      <c r="BJ27" s="219">
        <v>0</v>
      </c>
      <c r="BK27" s="219">
        <v>0</v>
      </c>
      <c r="BL27" s="219">
        <v>0</v>
      </c>
      <c r="BM27" s="219">
        <v>0</v>
      </c>
      <c r="BN27" s="219">
        <v>0</v>
      </c>
      <c r="BO27" s="219">
        <v>0</v>
      </c>
      <c r="BP27" s="219">
        <v>0</v>
      </c>
      <c r="BQ27" s="219">
        <v>0</v>
      </c>
      <c r="BR27" s="219">
        <v>0</v>
      </c>
      <c r="BS27" s="219">
        <v>0</v>
      </c>
      <c r="BT27" s="219">
        <v>14.3</v>
      </c>
      <c r="BU27" s="219">
        <v>0</v>
      </c>
      <c r="BV27" s="219">
        <v>0</v>
      </c>
      <c r="BW27" s="219">
        <v>0</v>
      </c>
      <c r="BX27" s="219">
        <v>0</v>
      </c>
      <c r="BY27" s="219">
        <v>0</v>
      </c>
      <c r="BZ27" s="219">
        <v>0</v>
      </c>
      <c r="CA27" s="219">
        <v>0</v>
      </c>
      <c r="CB27" s="219">
        <v>0</v>
      </c>
      <c r="CC27" s="219">
        <v>0</v>
      </c>
      <c r="CD27" s="219">
        <v>0</v>
      </c>
      <c r="CE27" s="219">
        <v>0</v>
      </c>
      <c r="CF27" s="219">
        <v>9.6</v>
      </c>
      <c r="CG27" s="219">
        <v>0</v>
      </c>
      <c r="CH27" s="219">
        <v>0</v>
      </c>
      <c r="CI27" s="219">
        <v>0</v>
      </c>
      <c r="CJ27" s="219">
        <v>0</v>
      </c>
      <c r="CK27" s="219">
        <v>0</v>
      </c>
      <c r="CL27" s="219">
        <v>0</v>
      </c>
      <c r="CM27" s="219">
        <v>0</v>
      </c>
      <c r="CN27" s="219">
        <v>0</v>
      </c>
      <c r="CO27" s="219">
        <v>0</v>
      </c>
      <c r="CP27" s="219">
        <v>0</v>
      </c>
      <c r="CQ27" s="219">
        <v>0</v>
      </c>
      <c r="CR27" s="231">
        <v>0</v>
      </c>
    </row>
    <row r="28" spans="1:96" ht="16.5" customHeight="1" hidden="1">
      <c r="A28" s="230" t="s">
        <v>25</v>
      </c>
      <c r="B28" s="214">
        <f>159.9+84.97</f>
        <v>244.87</v>
      </c>
      <c r="C28" s="215">
        <f>60.367+404.82</f>
        <v>465.187</v>
      </c>
      <c r="D28" s="213">
        <f>71.9+519.6</f>
        <v>591.5</v>
      </c>
      <c r="E28" s="213">
        <f>409.5+188.96</f>
        <v>598.46</v>
      </c>
      <c r="F28" s="213">
        <f>174.9+376.5</f>
        <v>551.4</v>
      </c>
      <c r="G28" s="213">
        <f>149.9+319.4</f>
        <v>469.29999999999995</v>
      </c>
      <c r="H28" s="213">
        <f>121.91+240.22</f>
        <v>362.13</v>
      </c>
      <c r="I28" s="213">
        <f>127.31+200.04</f>
        <v>327.35</v>
      </c>
      <c r="J28" s="218">
        <f>193.57+113.21</f>
        <v>306.78</v>
      </c>
      <c r="K28" s="218">
        <f>78.54+157</f>
        <v>235.54000000000002</v>
      </c>
      <c r="L28" s="219">
        <v>180.01</v>
      </c>
      <c r="M28" s="219">
        <v>190.6</v>
      </c>
      <c r="N28" s="219">
        <v>182.5095</v>
      </c>
      <c r="O28" s="219">
        <v>173.738443</v>
      </c>
      <c r="P28" s="219">
        <v>173.56944</v>
      </c>
      <c r="Q28" s="220">
        <v>168.9528</v>
      </c>
      <c r="R28" s="219">
        <v>176.13856</v>
      </c>
      <c r="S28" s="220">
        <v>186.5732</v>
      </c>
      <c r="T28" s="219">
        <v>173.55708</v>
      </c>
      <c r="U28" s="219">
        <v>169.7</v>
      </c>
      <c r="V28" s="220">
        <v>154.80994</v>
      </c>
      <c r="W28" s="219">
        <v>138.01863</v>
      </c>
      <c r="X28" s="219">
        <v>138.2304</v>
      </c>
      <c r="Y28" s="219">
        <v>140.3</v>
      </c>
      <c r="Z28" s="219">
        <v>140.5</v>
      </c>
      <c r="AA28" s="219">
        <v>141.4</v>
      </c>
      <c r="AB28" s="219">
        <v>142.5</v>
      </c>
      <c r="AC28" s="219">
        <v>127.3</v>
      </c>
      <c r="AD28" s="219">
        <v>126.8</v>
      </c>
      <c r="AE28" s="219">
        <v>130.2</v>
      </c>
      <c r="AF28" s="219">
        <v>127.1</v>
      </c>
      <c r="AG28" s="219">
        <v>128.3</v>
      </c>
      <c r="AH28" s="219">
        <v>128.36314</v>
      </c>
      <c r="AI28" s="219">
        <v>110.4</v>
      </c>
      <c r="AJ28" s="219">
        <v>101.2</v>
      </c>
      <c r="AK28" s="219">
        <v>104.7</v>
      </c>
      <c r="AL28" s="219">
        <v>105.7</v>
      </c>
      <c r="AM28" s="219">
        <v>107.3</v>
      </c>
      <c r="AN28" s="219">
        <v>104.2</v>
      </c>
      <c r="AO28" s="219">
        <v>96.8</v>
      </c>
      <c r="AP28" s="219">
        <v>90.1</v>
      </c>
      <c r="AQ28" s="219">
        <v>89.4</v>
      </c>
      <c r="AR28" s="219">
        <v>89.6</v>
      </c>
      <c r="AS28" s="219">
        <v>91</v>
      </c>
      <c r="AT28" s="219">
        <v>89.5</v>
      </c>
      <c r="AU28" s="219">
        <v>89.7</v>
      </c>
      <c r="AV28" s="219">
        <v>82.3</v>
      </c>
      <c r="AW28" s="219">
        <v>82.3</v>
      </c>
      <c r="AX28" s="219">
        <v>82.8</v>
      </c>
      <c r="AY28" s="219">
        <v>82</v>
      </c>
      <c r="AZ28" s="219">
        <v>81.9</v>
      </c>
      <c r="BA28" s="219">
        <v>80.9</v>
      </c>
      <c r="BB28" s="219">
        <v>71.9</v>
      </c>
      <c r="BC28" s="219">
        <v>72</v>
      </c>
      <c r="BD28" s="219">
        <v>72.8</v>
      </c>
      <c r="BE28" s="219">
        <v>72.8</v>
      </c>
      <c r="BF28" s="219">
        <v>72.8</v>
      </c>
      <c r="BG28" s="219">
        <v>64.2</v>
      </c>
      <c r="BH28" s="219">
        <v>65</v>
      </c>
      <c r="BI28" s="219">
        <v>73.7</v>
      </c>
      <c r="BJ28" s="219">
        <v>72.3</v>
      </c>
      <c r="BK28" s="219">
        <v>73.2</v>
      </c>
      <c r="BL28" s="219">
        <v>72.9</v>
      </c>
      <c r="BM28" s="219">
        <v>63.5</v>
      </c>
      <c r="BN28" s="219">
        <v>64</v>
      </c>
      <c r="BO28" s="219">
        <v>61.7</v>
      </c>
      <c r="BP28" s="219">
        <v>60.7</v>
      </c>
      <c r="BQ28" s="219">
        <v>60.1</v>
      </c>
      <c r="BR28" s="219">
        <v>60.3</v>
      </c>
      <c r="BS28" s="219">
        <v>50.2</v>
      </c>
      <c r="BT28" s="219">
        <v>51.9</v>
      </c>
      <c r="BU28" s="219">
        <v>50.8</v>
      </c>
      <c r="BV28" s="219">
        <v>50.94</v>
      </c>
      <c r="BW28" s="219">
        <v>51</v>
      </c>
      <c r="BX28" s="219">
        <v>50.6</v>
      </c>
      <c r="BY28" s="219">
        <v>40.6</v>
      </c>
      <c r="BZ28" s="219">
        <v>41.1</v>
      </c>
      <c r="CA28" s="219">
        <v>40.6</v>
      </c>
      <c r="CB28" s="219">
        <v>40.1</v>
      </c>
      <c r="CC28" s="219">
        <v>40.5</v>
      </c>
      <c r="CD28" s="219">
        <v>41</v>
      </c>
      <c r="CE28" s="219">
        <v>30.7</v>
      </c>
      <c r="CF28" s="219">
        <v>31</v>
      </c>
      <c r="CG28" s="219">
        <v>31.1</v>
      </c>
      <c r="CH28" s="219">
        <v>31.2</v>
      </c>
      <c r="CI28" s="219">
        <v>31.4</v>
      </c>
      <c r="CJ28" s="219">
        <v>30.8</v>
      </c>
      <c r="CK28" s="219">
        <v>24.7</v>
      </c>
      <c r="CL28" s="219">
        <v>23.7</v>
      </c>
      <c r="CM28" s="219">
        <v>23.7</v>
      </c>
      <c r="CN28" s="219">
        <v>23.4</v>
      </c>
      <c r="CO28" s="219">
        <v>23.5</v>
      </c>
      <c r="CP28" s="219">
        <v>23.5</v>
      </c>
      <c r="CQ28" s="219">
        <v>17.6</v>
      </c>
      <c r="CR28" s="231">
        <v>17.7</v>
      </c>
    </row>
    <row r="29" spans="1:96" ht="16.5" customHeight="1" hidden="1">
      <c r="A29" s="230" t="s">
        <v>26</v>
      </c>
      <c r="B29" s="214">
        <f>403.11+128.5</f>
        <v>531.61</v>
      </c>
      <c r="C29" s="215">
        <f>286.43+137.43</f>
        <v>423.86</v>
      </c>
      <c r="D29" s="213">
        <v>0</v>
      </c>
      <c r="E29" s="213">
        <v>0</v>
      </c>
      <c r="F29" s="213">
        <v>0</v>
      </c>
      <c r="G29" s="213">
        <v>0</v>
      </c>
      <c r="H29" s="213">
        <v>0</v>
      </c>
      <c r="I29" s="213">
        <v>0</v>
      </c>
      <c r="J29" s="218">
        <v>0</v>
      </c>
      <c r="K29" s="218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  <c r="Q29" s="221">
        <v>0</v>
      </c>
      <c r="R29" s="219">
        <v>0</v>
      </c>
      <c r="S29" s="220">
        <v>0</v>
      </c>
      <c r="T29" s="219">
        <v>0</v>
      </c>
      <c r="U29" s="219">
        <v>0</v>
      </c>
      <c r="V29" s="220">
        <v>0</v>
      </c>
      <c r="W29" s="219">
        <v>0</v>
      </c>
      <c r="X29" s="219">
        <v>0</v>
      </c>
      <c r="Y29" s="219">
        <v>0</v>
      </c>
      <c r="Z29" s="219">
        <v>0</v>
      </c>
      <c r="AA29" s="219">
        <v>0</v>
      </c>
      <c r="AB29" s="219">
        <v>0</v>
      </c>
      <c r="AC29" s="219">
        <v>0</v>
      </c>
      <c r="AD29" s="219">
        <v>0</v>
      </c>
      <c r="AE29" s="219">
        <v>0</v>
      </c>
      <c r="AF29" s="219">
        <v>0</v>
      </c>
      <c r="AG29" s="219">
        <v>0</v>
      </c>
      <c r="AH29" s="219">
        <v>0</v>
      </c>
      <c r="AI29" s="219">
        <v>0</v>
      </c>
      <c r="AJ29" s="219">
        <v>0</v>
      </c>
      <c r="AK29" s="219">
        <v>0</v>
      </c>
      <c r="AL29" s="219">
        <v>0</v>
      </c>
      <c r="AM29" s="219">
        <v>0</v>
      </c>
      <c r="AN29" s="219">
        <v>0</v>
      </c>
      <c r="AO29" s="219">
        <v>0</v>
      </c>
      <c r="AP29" s="219">
        <v>0</v>
      </c>
      <c r="AQ29" s="219">
        <v>0</v>
      </c>
      <c r="AR29" s="219">
        <v>0</v>
      </c>
      <c r="AS29" s="219">
        <v>0</v>
      </c>
      <c r="AT29" s="219">
        <v>0</v>
      </c>
      <c r="AU29" s="219">
        <v>0</v>
      </c>
      <c r="AV29" s="219">
        <v>0</v>
      </c>
      <c r="AW29" s="219">
        <v>0</v>
      </c>
      <c r="AX29" s="219">
        <v>0</v>
      </c>
      <c r="AY29" s="219">
        <v>0</v>
      </c>
      <c r="AZ29" s="219">
        <v>0</v>
      </c>
      <c r="BA29" s="219">
        <v>0</v>
      </c>
      <c r="BB29" s="219">
        <v>0</v>
      </c>
      <c r="BC29" s="219">
        <v>0</v>
      </c>
      <c r="BD29" s="219">
        <v>0</v>
      </c>
      <c r="BE29" s="219">
        <v>0</v>
      </c>
      <c r="BF29" s="219">
        <v>0</v>
      </c>
      <c r="BG29" s="219">
        <v>0</v>
      </c>
      <c r="BH29" s="219">
        <v>0</v>
      </c>
      <c r="BI29" s="219">
        <v>0</v>
      </c>
      <c r="BJ29" s="219">
        <v>0</v>
      </c>
      <c r="BK29" s="219">
        <v>0</v>
      </c>
      <c r="BL29" s="219">
        <v>0</v>
      </c>
      <c r="BM29" s="219">
        <v>0</v>
      </c>
      <c r="BN29" s="219">
        <v>0</v>
      </c>
      <c r="BO29" s="219">
        <v>0</v>
      </c>
      <c r="BP29" s="219">
        <v>0</v>
      </c>
      <c r="BQ29" s="219">
        <v>0</v>
      </c>
      <c r="BR29" s="219">
        <v>0</v>
      </c>
      <c r="BS29" s="219">
        <v>0</v>
      </c>
      <c r="BT29" s="219">
        <v>0</v>
      </c>
      <c r="BU29" s="219">
        <v>0</v>
      </c>
      <c r="BV29" s="219">
        <v>0</v>
      </c>
      <c r="BW29" s="219">
        <v>0</v>
      </c>
      <c r="BX29" s="219">
        <v>0</v>
      </c>
      <c r="BY29" s="219">
        <v>0</v>
      </c>
      <c r="BZ29" s="219">
        <v>0</v>
      </c>
      <c r="CA29" s="219">
        <v>0</v>
      </c>
      <c r="CB29" s="219">
        <v>0</v>
      </c>
      <c r="CC29" s="219">
        <v>0</v>
      </c>
      <c r="CD29" s="219">
        <v>0</v>
      </c>
      <c r="CE29" s="219">
        <v>0</v>
      </c>
      <c r="CF29" s="219">
        <v>0</v>
      </c>
      <c r="CG29" s="219">
        <v>0</v>
      </c>
      <c r="CH29" s="219">
        <v>0</v>
      </c>
      <c r="CI29" s="219">
        <v>0</v>
      </c>
      <c r="CJ29" s="219">
        <v>0</v>
      </c>
      <c r="CK29" s="219">
        <v>0</v>
      </c>
      <c r="CL29" s="219">
        <v>0</v>
      </c>
      <c r="CM29" s="219">
        <v>0</v>
      </c>
      <c r="CN29" s="219">
        <v>0</v>
      </c>
      <c r="CO29" s="219">
        <v>0</v>
      </c>
      <c r="CP29" s="219">
        <v>0</v>
      </c>
      <c r="CQ29" s="219">
        <v>0</v>
      </c>
      <c r="CR29" s="231">
        <v>0</v>
      </c>
    </row>
    <row r="30" spans="1:96" ht="16.5" customHeight="1" hidden="1">
      <c r="A30" s="230" t="s">
        <v>27</v>
      </c>
      <c r="B30" s="214">
        <v>0</v>
      </c>
      <c r="C30" s="215">
        <v>0</v>
      </c>
      <c r="D30" s="213">
        <v>0</v>
      </c>
      <c r="E30" s="213">
        <v>415.34</v>
      </c>
      <c r="F30" s="213">
        <v>562.8</v>
      </c>
      <c r="G30" s="213">
        <v>844.25</v>
      </c>
      <c r="H30" s="213">
        <v>802.81558</v>
      </c>
      <c r="I30" s="213">
        <v>887.3</v>
      </c>
      <c r="J30" s="218">
        <v>714.93</v>
      </c>
      <c r="K30" s="218">
        <v>623.19</v>
      </c>
      <c r="L30" s="219">
        <v>806.8</v>
      </c>
      <c r="M30" s="219">
        <v>783.3</v>
      </c>
      <c r="N30" s="219">
        <v>783.99</v>
      </c>
      <c r="O30" s="219">
        <v>750.00043</v>
      </c>
      <c r="P30" s="219">
        <v>724.42832</v>
      </c>
      <c r="Q30" s="220">
        <v>739.27152</v>
      </c>
      <c r="R30" s="219">
        <v>727.84179</v>
      </c>
      <c r="S30" s="220">
        <v>750.5331</v>
      </c>
      <c r="T30" s="219">
        <v>718.29828</v>
      </c>
      <c r="U30" s="219">
        <v>741.4</v>
      </c>
      <c r="V30" s="220">
        <v>744.64446</v>
      </c>
      <c r="W30" s="219">
        <v>762.80328</v>
      </c>
      <c r="X30" s="219">
        <v>750.8</v>
      </c>
      <c r="Y30" s="219">
        <v>756.6</v>
      </c>
      <c r="Z30" s="219">
        <v>750.1</v>
      </c>
      <c r="AA30" s="219">
        <v>756.3</v>
      </c>
      <c r="AB30" s="219">
        <v>776.5</v>
      </c>
      <c r="AC30" s="219">
        <v>803.3</v>
      </c>
      <c r="AD30" s="219">
        <v>753.7</v>
      </c>
      <c r="AE30" s="219">
        <v>813.35</v>
      </c>
      <c r="AF30" s="219">
        <v>782.2</v>
      </c>
      <c r="AG30" s="219">
        <v>782</v>
      </c>
      <c r="AH30" s="219">
        <v>764.2823</v>
      </c>
      <c r="AI30" s="219">
        <v>764.7</v>
      </c>
      <c r="AJ30" s="219">
        <v>700.4</v>
      </c>
      <c r="AK30" s="219">
        <v>669.73</v>
      </c>
      <c r="AL30" s="219">
        <v>676</v>
      </c>
      <c r="AM30" s="219">
        <v>703.4</v>
      </c>
      <c r="AN30" s="219">
        <v>679.34</v>
      </c>
      <c r="AO30" s="219">
        <v>677.1</v>
      </c>
      <c r="AP30" s="219">
        <v>641.23</v>
      </c>
      <c r="AQ30" s="219">
        <v>633.4</v>
      </c>
      <c r="AR30" s="219">
        <v>625.6</v>
      </c>
      <c r="AS30" s="219">
        <v>630.7</v>
      </c>
      <c r="AT30" s="219">
        <v>610.5</v>
      </c>
      <c r="AU30" s="219">
        <v>606.2</v>
      </c>
      <c r="AV30" s="219">
        <v>567.9</v>
      </c>
      <c r="AW30" s="219">
        <v>551.4</v>
      </c>
      <c r="AX30" s="219">
        <v>544.44</v>
      </c>
      <c r="AY30" s="219">
        <v>542.7</v>
      </c>
      <c r="AZ30" s="219">
        <v>545.6</v>
      </c>
      <c r="BA30" s="219">
        <v>554.2</v>
      </c>
      <c r="BB30" s="219">
        <v>526</v>
      </c>
      <c r="BC30" s="219">
        <v>528.94</v>
      </c>
      <c r="BD30" s="219">
        <v>539.7</v>
      </c>
      <c r="BE30" s="219">
        <v>547.9</v>
      </c>
      <c r="BF30" s="219">
        <v>547.84</v>
      </c>
      <c r="BG30" s="219">
        <v>545.1</v>
      </c>
      <c r="BH30" s="219">
        <v>521.8</v>
      </c>
      <c r="BI30" s="219">
        <v>506.9</v>
      </c>
      <c r="BJ30" s="219">
        <v>518.8</v>
      </c>
      <c r="BK30" s="219">
        <v>528.7</v>
      </c>
      <c r="BL30" s="219">
        <v>538.3</v>
      </c>
      <c r="BM30" s="219">
        <v>532.7</v>
      </c>
      <c r="BN30" s="219">
        <v>493.4</v>
      </c>
      <c r="BO30" s="219">
        <v>470.7</v>
      </c>
      <c r="BP30" s="219">
        <v>456.1</v>
      </c>
      <c r="BQ30" s="219">
        <v>449.2</v>
      </c>
      <c r="BR30" s="219">
        <v>468.9</v>
      </c>
      <c r="BS30" s="219">
        <v>481.5</v>
      </c>
      <c r="BT30" s="219">
        <v>424.1</v>
      </c>
      <c r="BU30" s="219">
        <v>418.85</v>
      </c>
      <c r="BV30" s="219">
        <v>429</v>
      </c>
      <c r="BW30" s="219">
        <v>431.73</v>
      </c>
      <c r="BX30" s="219">
        <v>446.8</v>
      </c>
      <c r="BY30" s="219">
        <v>440.34</v>
      </c>
      <c r="BZ30" s="219">
        <v>411.4</v>
      </c>
      <c r="CA30" s="219">
        <v>400.1</v>
      </c>
      <c r="CB30" s="219">
        <v>399.9</v>
      </c>
      <c r="CC30" s="219">
        <v>396.7</v>
      </c>
      <c r="CD30" s="219">
        <v>402.8</v>
      </c>
      <c r="CE30" s="219">
        <v>415.5</v>
      </c>
      <c r="CF30" s="219">
        <v>383.6</v>
      </c>
      <c r="CG30" s="219">
        <v>385.5</v>
      </c>
      <c r="CH30" s="219">
        <v>388.8</v>
      </c>
      <c r="CI30" s="219">
        <v>383.6</v>
      </c>
      <c r="CJ30" s="219">
        <v>365.4</v>
      </c>
      <c r="CK30" s="219">
        <v>365.2</v>
      </c>
      <c r="CL30" s="219">
        <v>335.6</v>
      </c>
      <c r="CM30" s="219">
        <v>340.6</v>
      </c>
      <c r="CN30" s="219">
        <v>334.15</v>
      </c>
      <c r="CO30" s="219">
        <v>342.5</v>
      </c>
      <c r="CP30" s="219">
        <v>336.2</v>
      </c>
      <c r="CQ30" s="219">
        <v>333.3</v>
      </c>
      <c r="CR30" s="231">
        <v>305.2</v>
      </c>
    </row>
    <row r="31" spans="1:96" ht="15" hidden="1">
      <c r="A31" s="230" t="s">
        <v>28</v>
      </c>
      <c r="B31" s="214">
        <v>112.24</v>
      </c>
      <c r="C31" s="215">
        <v>97.3</v>
      </c>
      <c r="D31" s="213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8">
        <v>0</v>
      </c>
      <c r="K31" s="218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20">
        <v>0</v>
      </c>
      <c r="R31" s="219">
        <v>0</v>
      </c>
      <c r="S31" s="220">
        <v>0</v>
      </c>
      <c r="T31" s="219">
        <v>0</v>
      </c>
      <c r="U31" s="219">
        <v>0</v>
      </c>
      <c r="V31" s="220">
        <v>0</v>
      </c>
      <c r="W31" s="219">
        <v>0</v>
      </c>
      <c r="X31" s="219">
        <v>0</v>
      </c>
      <c r="Y31" s="219">
        <v>0</v>
      </c>
      <c r="Z31" s="219">
        <v>0</v>
      </c>
      <c r="AA31" s="219">
        <v>0</v>
      </c>
      <c r="AB31" s="219">
        <v>0</v>
      </c>
      <c r="AC31" s="219">
        <v>0</v>
      </c>
      <c r="AD31" s="219">
        <v>0</v>
      </c>
      <c r="AE31" s="219">
        <v>0</v>
      </c>
      <c r="AF31" s="219">
        <v>0</v>
      </c>
      <c r="AG31" s="219">
        <v>0</v>
      </c>
      <c r="AH31" s="219">
        <v>0</v>
      </c>
      <c r="AI31" s="219">
        <v>0</v>
      </c>
      <c r="AJ31" s="219">
        <v>0</v>
      </c>
      <c r="AK31" s="219">
        <v>0</v>
      </c>
      <c r="AL31" s="219">
        <v>0</v>
      </c>
      <c r="AM31" s="219">
        <v>0</v>
      </c>
      <c r="AN31" s="219">
        <v>0</v>
      </c>
      <c r="AO31" s="219">
        <v>0</v>
      </c>
      <c r="AP31" s="219">
        <v>0</v>
      </c>
      <c r="AQ31" s="219">
        <v>0</v>
      </c>
      <c r="AR31" s="219">
        <v>0</v>
      </c>
      <c r="AS31" s="219">
        <v>0</v>
      </c>
      <c r="AT31" s="219">
        <v>0</v>
      </c>
      <c r="AU31" s="219">
        <v>0</v>
      </c>
      <c r="AV31" s="219">
        <v>0</v>
      </c>
      <c r="AW31" s="219">
        <v>0</v>
      </c>
      <c r="AX31" s="219">
        <v>0</v>
      </c>
      <c r="AY31" s="219">
        <v>0</v>
      </c>
      <c r="AZ31" s="219">
        <v>0</v>
      </c>
      <c r="BA31" s="219">
        <v>0</v>
      </c>
      <c r="BB31" s="219">
        <v>0</v>
      </c>
      <c r="BC31" s="219">
        <v>0</v>
      </c>
      <c r="BD31" s="219">
        <v>0</v>
      </c>
      <c r="BE31" s="219">
        <v>0</v>
      </c>
      <c r="BF31" s="219">
        <v>0</v>
      </c>
      <c r="BG31" s="219">
        <v>0</v>
      </c>
      <c r="BH31" s="219">
        <v>0</v>
      </c>
      <c r="BI31" s="219">
        <v>0</v>
      </c>
      <c r="BJ31" s="219">
        <v>0</v>
      </c>
      <c r="BK31" s="219">
        <v>0</v>
      </c>
      <c r="BL31" s="219">
        <v>0</v>
      </c>
      <c r="BM31" s="219">
        <v>0</v>
      </c>
      <c r="BN31" s="219">
        <v>0</v>
      </c>
      <c r="BO31" s="219">
        <v>0</v>
      </c>
      <c r="BP31" s="219">
        <v>0</v>
      </c>
      <c r="BQ31" s="219">
        <v>0</v>
      </c>
      <c r="BR31" s="219">
        <v>0</v>
      </c>
      <c r="BS31" s="219">
        <v>0</v>
      </c>
      <c r="BT31" s="219">
        <v>0</v>
      </c>
      <c r="BU31" s="219">
        <v>0</v>
      </c>
      <c r="BV31" s="219">
        <v>0</v>
      </c>
      <c r="BW31" s="219">
        <v>0</v>
      </c>
      <c r="BX31" s="219">
        <v>0</v>
      </c>
      <c r="BY31" s="219">
        <v>0</v>
      </c>
      <c r="BZ31" s="219">
        <v>0</v>
      </c>
      <c r="CA31" s="219">
        <v>0</v>
      </c>
      <c r="CB31" s="219">
        <v>0</v>
      </c>
      <c r="CC31" s="219">
        <v>0</v>
      </c>
      <c r="CD31" s="219">
        <v>0</v>
      </c>
      <c r="CE31" s="219">
        <v>0</v>
      </c>
      <c r="CF31" s="219">
        <v>0</v>
      </c>
      <c r="CG31" s="219">
        <v>0</v>
      </c>
      <c r="CH31" s="219">
        <v>0</v>
      </c>
      <c r="CI31" s="219">
        <v>0</v>
      </c>
      <c r="CJ31" s="219">
        <v>0</v>
      </c>
      <c r="CK31" s="219">
        <v>0</v>
      </c>
      <c r="CL31" s="219">
        <v>0</v>
      </c>
      <c r="CM31" s="219">
        <v>0</v>
      </c>
      <c r="CN31" s="219">
        <v>0</v>
      </c>
      <c r="CO31" s="219">
        <v>0</v>
      </c>
      <c r="CP31" s="219">
        <v>0</v>
      </c>
      <c r="CQ31" s="219">
        <v>0</v>
      </c>
      <c r="CR31" s="231">
        <v>0</v>
      </c>
    </row>
    <row r="32" spans="1:96" ht="16.5" customHeight="1" hidden="1">
      <c r="A32" s="230" t="s">
        <v>29</v>
      </c>
      <c r="B32" s="214">
        <f>14.8+944.5</f>
        <v>959.3</v>
      </c>
      <c r="C32" s="215">
        <f>123.14+259.95</f>
        <v>383.09</v>
      </c>
      <c r="D32" s="213">
        <f>158.03+344.3</f>
        <v>502.33000000000004</v>
      </c>
      <c r="E32" s="213">
        <f>549.8+319.97</f>
        <v>869.77</v>
      </c>
      <c r="F32" s="213">
        <f>431.7+555.92</f>
        <v>987.6199999999999</v>
      </c>
      <c r="G32" s="213">
        <f>667.54+641.73</f>
        <v>1309.27</v>
      </c>
      <c r="H32" s="213">
        <f>489.64+790.32</f>
        <v>1279.96</v>
      </c>
      <c r="I32" s="213">
        <f>107.1+1203.41</f>
        <v>1310.51</v>
      </c>
      <c r="J32" s="218">
        <f>118.5+1795.48</f>
        <v>1913.98</v>
      </c>
      <c r="K32" s="218">
        <f>1818.92+85.95</f>
        <v>1904.8700000000001</v>
      </c>
      <c r="L32" s="219">
        <v>2542.56</v>
      </c>
      <c r="M32" s="219">
        <v>2447</v>
      </c>
      <c r="N32" s="219">
        <v>2391.591</v>
      </c>
      <c r="O32" s="219">
        <v>2206.268407</v>
      </c>
      <c r="P32" s="219">
        <v>2143.54184</v>
      </c>
      <c r="Q32" s="220">
        <v>2241.30312</v>
      </c>
      <c r="R32" s="219">
        <v>2333.83592</v>
      </c>
      <c r="S32" s="220">
        <v>2462.76624</v>
      </c>
      <c r="T32" s="219">
        <v>2464.84836</v>
      </c>
      <c r="U32" s="219">
        <v>2716.9</v>
      </c>
      <c r="V32" s="220">
        <v>2587.66112</v>
      </c>
      <c r="W32" s="219">
        <v>2785.18983</v>
      </c>
      <c r="X32" s="219">
        <v>2840</v>
      </c>
      <c r="Y32" s="219">
        <v>2856.2</v>
      </c>
      <c r="Z32" s="219">
        <v>2642.6</v>
      </c>
      <c r="AA32" s="219">
        <v>2612.6</v>
      </c>
      <c r="AB32" s="219">
        <v>2727</v>
      </c>
      <c r="AC32" s="219">
        <v>3000.6</v>
      </c>
      <c r="AD32" s="219">
        <v>2960.2</v>
      </c>
      <c r="AE32" s="219">
        <v>3160.65</v>
      </c>
      <c r="AF32" s="219">
        <v>2973.6</v>
      </c>
      <c r="AG32" s="219">
        <v>2936.5</v>
      </c>
      <c r="AH32" s="219">
        <v>2849.38956</v>
      </c>
      <c r="AI32" s="219">
        <v>2771.1</v>
      </c>
      <c r="AJ32" s="219">
        <v>2543.4</v>
      </c>
      <c r="AK32" s="219">
        <v>2318.53</v>
      </c>
      <c r="AL32" s="219">
        <v>2341.8</v>
      </c>
      <c r="AM32" s="219">
        <v>2389.6</v>
      </c>
      <c r="AN32" s="219">
        <v>2217.64</v>
      </c>
      <c r="AO32" s="219">
        <v>2185.8</v>
      </c>
      <c r="AP32" s="219">
        <v>2237.44</v>
      </c>
      <c r="AQ32" s="219">
        <v>2206.4</v>
      </c>
      <c r="AR32" s="219">
        <v>2205</v>
      </c>
      <c r="AS32" s="219">
        <v>2163.3</v>
      </c>
      <c r="AT32" s="219">
        <v>2123.6</v>
      </c>
      <c r="AU32" s="219">
        <v>2060.7</v>
      </c>
      <c r="AV32" s="219">
        <v>1991.5</v>
      </c>
      <c r="AW32" s="219">
        <v>2084.3</v>
      </c>
      <c r="AX32" s="219">
        <v>2039.64</v>
      </c>
      <c r="AY32" s="219">
        <v>1978.2</v>
      </c>
      <c r="AZ32" s="219">
        <v>1987.5</v>
      </c>
      <c r="BA32" s="219">
        <v>2014.1</v>
      </c>
      <c r="BB32" s="219">
        <v>1992.1</v>
      </c>
      <c r="BC32" s="219">
        <v>2017.64</v>
      </c>
      <c r="BD32" s="219">
        <v>2007.3</v>
      </c>
      <c r="BE32" s="219">
        <v>1978.5</v>
      </c>
      <c r="BF32" s="219">
        <v>1944.84</v>
      </c>
      <c r="BG32" s="219">
        <v>1862.8</v>
      </c>
      <c r="BH32" s="219">
        <v>1898</v>
      </c>
      <c r="BI32" s="219">
        <v>2047.9</v>
      </c>
      <c r="BJ32" s="219">
        <v>2018.9</v>
      </c>
      <c r="BK32" s="219">
        <v>2049.7</v>
      </c>
      <c r="BL32" s="219">
        <v>1989.5</v>
      </c>
      <c r="BM32" s="219">
        <v>1958.3</v>
      </c>
      <c r="BN32" s="219">
        <v>1944.6</v>
      </c>
      <c r="BO32" s="219">
        <v>1924.5</v>
      </c>
      <c r="BP32" s="219">
        <v>1922.1</v>
      </c>
      <c r="BQ32" s="219">
        <v>1900.5</v>
      </c>
      <c r="BR32" s="219">
        <v>1956.8</v>
      </c>
      <c r="BS32" s="219">
        <v>2002.9</v>
      </c>
      <c r="BT32" s="219">
        <v>2012.1</v>
      </c>
      <c r="BU32" s="219">
        <v>2014.75</v>
      </c>
      <c r="BV32" s="219">
        <v>2109.94</v>
      </c>
      <c r="BW32" s="219">
        <v>1993.54</v>
      </c>
      <c r="BX32" s="219">
        <v>2092.3</v>
      </c>
      <c r="BY32" s="219">
        <v>2075.74</v>
      </c>
      <c r="BZ32" s="219">
        <v>2250.5</v>
      </c>
      <c r="CA32" s="219">
        <v>2211.2</v>
      </c>
      <c r="CB32" s="219">
        <v>2188.5</v>
      </c>
      <c r="CC32" s="219">
        <v>2177.6</v>
      </c>
      <c r="CD32" s="219">
        <v>2167.7</v>
      </c>
      <c r="CE32" s="219">
        <v>2094.2</v>
      </c>
      <c r="CF32" s="219">
        <v>2046.9</v>
      </c>
      <c r="CG32" s="219">
        <v>2055.5</v>
      </c>
      <c r="CH32" s="219">
        <v>2091.4</v>
      </c>
      <c r="CI32" s="219">
        <v>2043</v>
      </c>
      <c r="CJ32" s="219">
        <v>1997.4</v>
      </c>
      <c r="CK32" s="219">
        <v>1979.8</v>
      </c>
      <c r="CL32" s="219">
        <v>1914.9</v>
      </c>
      <c r="CM32" s="219">
        <v>1887.7</v>
      </c>
      <c r="CN32" s="219">
        <v>1860.55</v>
      </c>
      <c r="CO32" s="219">
        <v>1808.3</v>
      </c>
      <c r="CP32" s="219">
        <v>1820.4</v>
      </c>
      <c r="CQ32" s="219">
        <v>1834.1</v>
      </c>
      <c r="CR32" s="231">
        <v>1804.7</v>
      </c>
    </row>
    <row r="33" spans="1:96" ht="16.5" customHeight="1" hidden="1">
      <c r="A33" s="230" t="s">
        <v>30</v>
      </c>
      <c r="B33" s="214">
        <v>26.6</v>
      </c>
      <c r="C33" s="215">
        <v>25.372391</v>
      </c>
      <c r="D33" s="213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8">
        <v>0</v>
      </c>
      <c r="K33" s="218">
        <v>0</v>
      </c>
      <c r="L33" s="219">
        <v>0</v>
      </c>
      <c r="M33" s="219">
        <v>0</v>
      </c>
      <c r="N33" s="219">
        <v>0</v>
      </c>
      <c r="O33" s="219">
        <v>0</v>
      </c>
      <c r="P33" s="219">
        <v>0</v>
      </c>
      <c r="Q33" s="221">
        <v>0</v>
      </c>
      <c r="R33" s="219">
        <v>0</v>
      </c>
      <c r="S33" s="220">
        <v>0</v>
      </c>
      <c r="T33" s="219">
        <v>0</v>
      </c>
      <c r="U33" s="219">
        <v>0</v>
      </c>
      <c r="V33" s="220">
        <v>0</v>
      </c>
      <c r="W33" s="219">
        <v>0</v>
      </c>
      <c r="X33" s="219">
        <v>0</v>
      </c>
      <c r="Y33" s="219">
        <v>0</v>
      </c>
      <c r="Z33" s="219">
        <v>0</v>
      </c>
      <c r="AA33" s="219">
        <v>0</v>
      </c>
      <c r="AB33" s="219">
        <v>0</v>
      </c>
      <c r="AC33" s="219">
        <v>0</v>
      </c>
      <c r="AD33" s="219">
        <v>0</v>
      </c>
      <c r="AE33" s="219">
        <v>0</v>
      </c>
      <c r="AF33" s="219">
        <v>0</v>
      </c>
      <c r="AG33" s="219">
        <v>0</v>
      </c>
      <c r="AH33" s="219">
        <v>0</v>
      </c>
      <c r="AI33" s="219">
        <v>0</v>
      </c>
      <c r="AJ33" s="219">
        <v>0</v>
      </c>
      <c r="AK33" s="219">
        <v>0</v>
      </c>
      <c r="AL33" s="219">
        <v>0</v>
      </c>
      <c r="AM33" s="219">
        <v>0</v>
      </c>
      <c r="AN33" s="219">
        <v>0</v>
      </c>
      <c r="AO33" s="219">
        <v>0</v>
      </c>
      <c r="AP33" s="219">
        <v>0</v>
      </c>
      <c r="AQ33" s="219">
        <v>0</v>
      </c>
      <c r="AR33" s="219">
        <v>0</v>
      </c>
      <c r="AS33" s="219">
        <v>0</v>
      </c>
      <c r="AT33" s="219">
        <v>0</v>
      </c>
      <c r="AU33" s="219">
        <v>0</v>
      </c>
      <c r="AV33" s="219">
        <v>0</v>
      </c>
      <c r="AW33" s="219">
        <v>0</v>
      </c>
      <c r="AX33" s="219">
        <v>0</v>
      </c>
      <c r="AY33" s="219">
        <v>0</v>
      </c>
      <c r="AZ33" s="219">
        <v>0</v>
      </c>
      <c r="BA33" s="219">
        <v>0</v>
      </c>
      <c r="BB33" s="219">
        <v>0</v>
      </c>
      <c r="BC33" s="219">
        <v>0</v>
      </c>
      <c r="BD33" s="219">
        <v>0</v>
      </c>
      <c r="BE33" s="219">
        <v>0</v>
      </c>
      <c r="BF33" s="219">
        <v>0</v>
      </c>
      <c r="BG33" s="219">
        <v>0</v>
      </c>
      <c r="BH33" s="219">
        <v>0</v>
      </c>
      <c r="BI33" s="219">
        <v>0</v>
      </c>
      <c r="BJ33" s="219">
        <v>0</v>
      </c>
      <c r="BK33" s="219">
        <v>0</v>
      </c>
      <c r="BL33" s="219">
        <v>0</v>
      </c>
      <c r="BM33" s="219">
        <v>0</v>
      </c>
      <c r="BN33" s="219">
        <v>0</v>
      </c>
      <c r="BO33" s="219">
        <v>0</v>
      </c>
      <c r="BP33" s="219">
        <v>0</v>
      </c>
      <c r="BQ33" s="219">
        <v>0</v>
      </c>
      <c r="BR33" s="219">
        <v>0</v>
      </c>
      <c r="BS33" s="219">
        <v>0</v>
      </c>
      <c r="BT33" s="219">
        <v>0</v>
      </c>
      <c r="BU33" s="219">
        <v>0</v>
      </c>
      <c r="BV33" s="219">
        <v>0</v>
      </c>
      <c r="BW33" s="219">
        <v>0</v>
      </c>
      <c r="BX33" s="219">
        <v>0</v>
      </c>
      <c r="BY33" s="219">
        <v>0</v>
      </c>
      <c r="BZ33" s="219">
        <v>0</v>
      </c>
      <c r="CA33" s="219">
        <v>0</v>
      </c>
      <c r="CB33" s="219">
        <v>0</v>
      </c>
      <c r="CC33" s="219">
        <v>0</v>
      </c>
      <c r="CD33" s="219">
        <v>0</v>
      </c>
      <c r="CE33" s="219">
        <v>0</v>
      </c>
      <c r="CF33" s="219">
        <v>0</v>
      </c>
      <c r="CG33" s="219">
        <v>0</v>
      </c>
      <c r="CH33" s="219">
        <v>0</v>
      </c>
      <c r="CI33" s="219">
        <v>0</v>
      </c>
      <c r="CJ33" s="219">
        <v>0</v>
      </c>
      <c r="CK33" s="219">
        <v>0</v>
      </c>
      <c r="CL33" s="219">
        <v>0</v>
      </c>
      <c r="CM33" s="219">
        <v>0</v>
      </c>
      <c r="CN33" s="219">
        <v>0</v>
      </c>
      <c r="CO33" s="219">
        <v>0</v>
      </c>
      <c r="CP33" s="219">
        <v>0</v>
      </c>
      <c r="CQ33" s="219">
        <v>0</v>
      </c>
      <c r="CR33" s="231">
        <v>0</v>
      </c>
    </row>
    <row r="34" spans="1:96" ht="16.5" customHeight="1" hidden="1">
      <c r="A34" s="230" t="s">
        <v>31</v>
      </c>
      <c r="B34" s="214">
        <v>9.7</v>
      </c>
      <c r="C34" s="215">
        <v>6.761758</v>
      </c>
      <c r="D34" s="213">
        <v>2.814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8">
        <v>0</v>
      </c>
      <c r="K34" s="218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20">
        <v>0</v>
      </c>
      <c r="R34" s="219">
        <v>0</v>
      </c>
      <c r="S34" s="220">
        <v>0</v>
      </c>
      <c r="T34" s="219">
        <v>0</v>
      </c>
      <c r="U34" s="219">
        <v>0</v>
      </c>
      <c r="V34" s="220">
        <v>0</v>
      </c>
      <c r="W34" s="219">
        <v>0</v>
      </c>
      <c r="X34" s="219">
        <v>0</v>
      </c>
      <c r="Y34" s="219">
        <v>0</v>
      </c>
      <c r="Z34" s="219">
        <v>0</v>
      </c>
      <c r="AA34" s="219">
        <v>0</v>
      </c>
      <c r="AB34" s="219">
        <v>0</v>
      </c>
      <c r="AC34" s="219">
        <v>0</v>
      </c>
      <c r="AD34" s="219">
        <v>0</v>
      </c>
      <c r="AE34" s="219">
        <v>0</v>
      </c>
      <c r="AF34" s="219">
        <v>0</v>
      </c>
      <c r="AG34" s="219">
        <v>0</v>
      </c>
      <c r="AH34" s="219">
        <v>0</v>
      </c>
      <c r="AI34" s="219">
        <v>0</v>
      </c>
      <c r="AJ34" s="219">
        <v>0</v>
      </c>
      <c r="AK34" s="219">
        <v>0</v>
      </c>
      <c r="AL34" s="219">
        <v>0</v>
      </c>
      <c r="AM34" s="219">
        <v>0</v>
      </c>
      <c r="AN34" s="219">
        <v>0</v>
      </c>
      <c r="AO34" s="219">
        <v>0</v>
      </c>
      <c r="AP34" s="219">
        <v>0</v>
      </c>
      <c r="AQ34" s="219">
        <v>0</v>
      </c>
      <c r="AR34" s="219">
        <v>0</v>
      </c>
      <c r="AS34" s="219">
        <v>0</v>
      </c>
      <c r="AT34" s="219">
        <v>0</v>
      </c>
      <c r="AU34" s="219">
        <v>0</v>
      </c>
      <c r="AV34" s="219">
        <v>0</v>
      </c>
      <c r="AW34" s="219">
        <v>0</v>
      </c>
      <c r="AX34" s="219">
        <v>0</v>
      </c>
      <c r="AY34" s="219">
        <v>0</v>
      </c>
      <c r="AZ34" s="219">
        <v>0</v>
      </c>
      <c r="BA34" s="219">
        <v>0</v>
      </c>
      <c r="BB34" s="219">
        <v>0</v>
      </c>
      <c r="BC34" s="219">
        <v>0</v>
      </c>
      <c r="BD34" s="219">
        <v>0</v>
      </c>
      <c r="BE34" s="219">
        <v>0</v>
      </c>
      <c r="BF34" s="219">
        <v>0</v>
      </c>
      <c r="BG34" s="219">
        <v>0</v>
      </c>
      <c r="BH34" s="219">
        <v>0</v>
      </c>
      <c r="BI34" s="219">
        <v>0</v>
      </c>
      <c r="BJ34" s="219">
        <v>0</v>
      </c>
      <c r="BK34" s="219">
        <v>0</v>
      </c>
      <c r="BL34" s="219">
        <v>0</v>
      </c>
      <c r="BM34" s="219">
        <v>0</v>
      </c>
      <c r="BN34" s="219">
        <v>0</v>
      </c>
      <c r="BO34" s="219">
        <v>0</v>
      </c>
      <c r="BP34" s="219">
        <v>0</v>
      </c>
      <c r="BQ34" s="219">
        <v>0</v>
      </c>
      <c r="BR34" s="219">
        <v>0</v>
      </c>
      <c r="BS34" s="219">
        <v>0</v>
      </c>
      <c r="BT34" s="219">
        <v>0</v>
      </c>
      <c r="BU34" s="219">
        <v>0</v>
      </c>
      <c r="BV34" s="219">
        <v>0</v>
      </c>
      <c r="BW34" s="219">
        <v>0</v>
      </c>
      <c r="BX34" s="219">
        <v>0</v>
      </c>
      <c r="BY34" s="219">
        <v>0</v>
      </c>
      <c r="BZ34" s="219">
        <v>0</v>
      </c>
      <c r="CA34" s="219">
        <v>0</v>
      </c>
      <c r="CB34" s="219">
        <v>0</v>
      </c>
      <c r="CC34" s="219">
        <v>0</v>
      </c>
      <c r="CD34" s="219">
        <v>0</v>
      </c>
      <c r="CE34" s="219">
        <v>0</v>
      </c>
      <c r="CF34" s="219">
        <v>0</v>
      </c>
      <c r="CG34" s="219">
        <v>0</v>
      </c>
      <c r="CH34" s="219">
        <v>0</v>
      </c>
      <c r="CI34" s="219">
        <v>0</v>
      </c>
      <c r="CJ34" s="219">
        <v>0</v>
      </c>
      <c r="CK34" s="219">
        <v>0</v>
      </c>
      <c r="CL34" s="219">
        <v>0</v>
      </c>
      <c r="CM34" s="219">
        <v>0</v>
      </c>
      <c r="CN34" s="219">
        <v>0</v>
      </c>
      <c r="CO34" s="219">
        <v>0</v>
      </c>
      <c r="CP34" s="219">
        <v>0</v>
      </c>
      <c r="CQ34" s="219">
        <v>0</v>
      </c>
      <c r="CR34" s="231">
        <v>0</v>
      </c>
    </row>
    <row r="35" spans="1:96" ht="16.5" customHeight="1" hidden="1">
      <c r="A35" s="230" t="s">
        <v>32</v>
      </c>
      <c r="B35" s="214">
        <f>73.67+51.6</f>
        <v>125.27000000000001</v>
      </c>
      <c r="C35" s="215">
        <f>82.09+62.098</f>
        <v>144.188</v>
      </c>
      <c r="D35" s="213">
        <f>107.2+84.1</f>
        <v>191.3</v>
      </c>
      <c r="E35" s="213">
        <f>75.6+105.6</f>
        <v>181.2</v>
      </c>
      <c r="F35" s="213">
        <f>70.48+108.73</f>
        <v>179.21</v>
      </c>
      <c r="G35" s="213">
        <f>119.1+69.33</f>
        <v>188.43</v>
      </c>
      <c r="H35" s="213">
        <f>106.93+55.26</f>
        <v>162.19</v>
      </c>
      <c r="I35" s="213">
        <f>109.16+44.47</f>
        <v>153.63</v>
      </c>
      <c r="J35" s="218">
        <v>124.3</v>
      </c>
      <c r="K35" s="218">
        <f>29.96+98.5</f>
        <v>128.46</v>
      </c>
      <c r="L35" s="219">
        <v>129.4</v>
      </c>
      <c r="M35" s="219">
        <v>126.8</v>
      </c>
      <c r="N35" s="219">
        <v>120.1275</v>
      </c>
      <c r="O35" s="219">
        <v>113.713724</v>
      </c>
      <c r="P35" s="219">
        <v>110.41624</v>
      </c>
      <c r="Q35" s="220">
        <v>114.14616</v>
      </c>
      <c r="R35" s="219">
        <v>118.13139</v>
      </c>
      <c r="S35" s="220">
        <v>52.57972</v>
      </c>
      <c r="T35" s="219">
        <v>47.71764</v>
      </c>
      <c r="U35" s="219">
        <v>47.5</v>
      </c>
      <c r="V35" s="220">
        <v>48.43216</v>
      </c>
      <c r="W35" s="219">
        <v>0</v>
      </c>
      <c r="X35" s="219">
        <v>0</v>
      </c>
      <c r="Y35" s="219">
        <v>0</v>
      </c>
      <c r="Z35" s="219">
        <v>0</v>
      </c>
      <c r="AA35" s="219">
        <v>0</v>
      </c>
      <c r="AB35" s="219">
        <v>0</v>
      </c>
      <c r="AC35" s="219">
        <v>0</v>
      </c>
      <c r="AD35" s="219">
        <v>0</v>
      </c>
      <c r="AE35" s="219">
        <v>0</v>
      </c>
      <c r="AF35" s="219">
        <v>0</v>
      </c>
      <c r="AG35" s="219">
        <v>0</v>
      </c>
      <c r="AH35" s="219">
        <v>0</v>
      </c>
      <c r="AI35" s="219">
        <v>0</v>
      </c>
      <c r="AJ35" s="219">
        <v>0</v>
      </c>
      <c r="AK35" s="219">
        <v>0</v>
      </c>
      <c r="AL35" s="219">
        <v>0</v>
      </c>
      <c r="AM35" s="219">
        <v>0</v>
      </c>
      <c r="AN35" s="219">
        <v>0</v>
      </c>
      <c r="AO35" s="219">
        <v>0</v>
      </c>
      <c r="AP35" s="219">
        <v>0</v>
      </c>
      <c r="AQ35" s="219">
        <v>0</v>
      </c>
      <c r="AR35" s="219">
        <v>0</v>
      </c>
      <c r="AS35" s="219">
        <v>0</v>
      </c>
      <c r="AT35" s="219">
        <v>0</v>
      </c>
      <c r="AU35" s="219">
        <v>0</v>
      </c>
      <c r="AV35" s="219">
        <v>0</v>
      </c>
      <c r="AW35" s="219">
        <v>0</v>
      </c>
      <c r="AX35" s="219">
        <v>0</v>
      </c>
      <c r="AY35" s="219">
        <v>0</v>
      </c>
      <c r="AZ35" s="219">
        <v>0</v>
      </c>
      <c r="BA35" s="219">
        <v>0</v>
      </c>
      <c r="BB35" s="219">
        <v>0</v>
      </c>
      <c r="BC35" s="219">
        <v>0</v>
      </c>
      <c r="BD35" s="219">
        <v>0</v>
      </c>
      <c r="BE35" s="219">
        <v>0</v>
      </c>
      <c r="BF35" s="219">
        <v>0</v>
      </c>
      <c r="BG35" s="219">
        <v>0</v>
      </c>
      <c r="BH35" s="219">
        <v>0</v>
      </c>
      <c r="BI35" s="219">
        <v>0</v>
      </c>
      <c r="BJ35" s="219">
        <v>0</v>
      </c>
      <c r="BK35" s="219">
        <v>0</v>
      </c>
      <c r="BL35" s="219">
        <v>0</v>
      </c>
      <c r="BM35" s="219">
        <v>0</v>
      </c>
      <c r="BN35" s="219">
        <v>0</v>
      </c>
      <c r="BO35" s="219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19">
        <v>0</v>
      </c>
      <c r="BZ35" s="219">
        <v>0</v>
      </c>
      <c r="CA35" s="219">
        <v>0</v>
      </c>
      <c r="CB35" s="219">
        <v>0</v>
      </c>
      <c r="CC35" s="219">
        <v>0</v>
      </c>
      <c r="CD35" s="219">
        <v>0</v>
      </c>
      <c r="CE35" s="219">
        <v>0</v>
      </c>
      <c r="CF35" s="219">
        <v>0</v>
      </c>
      <c r="CG35" s="219">
        <v>0</v>
      </c>
      <c r="CH35" s="219">
        <v>0</v>
      </c>
      <c r="CI35" s="219">
        <v>0</v>
      </c>
      <c r="CJ35" s="219">
        <v>0</v>
      </c>
      <c r="CK35" s="219">
        <v>0</v>
      </c>
      <c r="CL35" s="219">
        <v>0</v>
      </c>
      <c r="CM35" s="219">
        <v>0</v>
      </c>
      <c r="CN35" s="219">
        <v>0</v>
      </c>
      <c r="CO35" s="219">
        <v>0</v>
      </c>
      <c r="CP35" s="219">
        <v>0</v>
      </c>
      <c r="CQ35" s="219">
        <v>0</v>
      </c>
      <c r="CR35" s="231">
        <v>0</v>
      </c>
    </row>
    <row r="36" spans="1:96" ht="16.5" customHeight="1" hidden="1">
      <c r="A36" s="230" t="s">
        <v>33</v>
      </c>
      <c r="B36" s="214">
        <f>206.46+13.14</f>
        <v>219.60000000000002</v>
      </c>
      <c r="C36" s="215">
        <v>287.09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8">
        <v>0</v>
      </c>
      <c r="K36" s="218">
        <v>0</v>
      </c>
      <c r="L36" s="219">
        <v>0</v>
      </c>
      <c r="M36" s="219">
        <v>0</v>
      </c>
      <c r="N36" s="219">
        <v>0</v>
      </c>
      <c r="O36" s="219">
        <v>0</v>
      </c>
      <c r="P36" s="219">
        <v>0</v>
      </c>
      <c r="Q36" s="220">
        <v>0</v>
      </c>
      <c r="R36" s="219">
        <v>0</v>
      </c>
      <c r="S36" s="220">
        <v>0</v>
      </c>
      <c r="T36" s="219">
        <v>0</v>
      </c>
      <c r="U36" s="219">
        <v>0</v>
      </c>
      <c r="V36" s="220">
        <v>0</v>
      </c>
      <c r="W36" s="219">
        <v>0</v>
      </c>
      <c r="X36" s="219">
        <v>0</v>
      </c>
      <c r="Y36" s="219">
        <v>0</v>
      </c>
      <c r="Z36" s="219">
        <v>0</v>
      </c>
      <c r="AA36" s="219">
        <v>0</v>
      </c>
      <c r="AB36" s="219">
        <v>0</v>
      </c>
      <c r="AC36" s="219">
        <v>0</v>
      </c>
      <c r="AD36" s="219">
        <v>0</v>
      </c>
      <c r="AE36" s="219">
        <v>0</v>
      </c>
      <c r="AF36" s="219">
        <v>0</v>
      </c>
      <c r="AG36" s="219">
        <v>0</v>
      </c>
      <c r="AH36" s="219">
        <v>0</v>
      </c>
      <c r="AI36" s="219">
        <v>0</v>
      </c>
      <c r="AJ36" s="219">
        <v>0</v>
      </c>
      <c r="AK36" s="219">
        <v>0</v>
      </c>
      <c r="AL36" s="219">
        <v>0</v>
      </c>
      <c r="AM36" s="219">
        <v>0</v>
      </c>
      <c r="AN36" s="219">
        <v>0</v>
      </c>
      <c r="AO36" s="219">
        <v>0</v>
      </c>
      <c r="AP36" s="219">
        <v>0</v>
      </c>
      <c r="AQ36" s="219">
        <v>0</v>
      </c>
      <c r="AR36" s="219">
        <v>0</v>
      </c>
      <c r="AS36" s="219">
        <v>0</v>
      </c>
      <c r="AT36" s="219">
        <v>0</v>
      </c>
      <c r="AU36" s="219">
        <v>0</v>
      </c>
      <c r="AV36" s="219">
        <v>0</v>
      </c>
      <c r="AW36" s="219">
        <v>0</v>
      </c>
      <c r="AX36" s="219">
        <v>0</v>
      </c>
      <c r="AY36" s="219">
        <v>0</v>
      </c>
      <c r="AZ36" s="219">
        <v>0</v>
      </c>
      <c r="BA36" s="219">
        <v>0</v>
      </c>
      <c r="BB36" s="219">
        <v>0</v>
      </c>
      <c r="BC36" s="219">
        <v>0</v>
      </c>
      <c r="BD36" s="219">
        <v>0</v>
      </c>
      <c r="BE36" s="219">
        <v>0</v>
      </c>
      <c r="BF36" s="219">
        <v>0</v>
      </c>
      <c r="BG36" s="219">
        <v>0</v>
      </c>
      <c r="BH36" s="219">
        <v>0</v>
      </c>
      <c r="BI36" s="219">
        <v>0</v>
      </c>
      <c r="BJ36" s="219">
        <v>0</v>
      </c>
      <c r="BK36" s="219">
        <v>0</v>
      </c>
      <c r="BL36" s="219">
        <v>0</v>
      </c>
      <c r="BM36" s="219">
        <v>0</v>
      </c>
      <c r="BN36" s="219">
        <v>0</v>
      </c>
      <c r="BO36" s="219">
        <v>0</v>
      </c>
      <c r="BP36" s="219">
        <v>0</v>
      </c>
      <c r="BQ36" s="219">
        <v>0</v>
      </c>
      <c r="BR36" s="219">
        <v>0</v>
      </c>
      <c r="BS36" s="219">
        <v>0</v>
      </c>
      <c r="BT36" s="219">
        <v>0</v>
      </c>
      <c r="BU36" s="219">
        <v>0</v>
      </c>
      <c r="BV36" s="219">
        <v>0</v>
      </c>
      <c r="BW36" s="219">
        <v>0</v>
      </c>
      <c r="BX36" s="219">
        <v>0</v>
      </c>
      <c r="BY36" s="219">
        <v>0</v>
      </c>
      <c r="BZ36" s="219">
        <v>0</v>
      </c>
      <c r="CA36" s="219">
        <v>0</v>
      </c>
      <c r="CB36" s="219">
        <v>0</v>
      </c>
      <c r="CC36" s="219">
        <v>0</v>
      </c>
      <c r="CD36" s="219">
        <v>0</v>
      </c>
      <c r="CE36" s="219">
        <v>0</v>
      </c>
      <c r="CF36" s="219">
        <v>0</v>
      </c>
      <c r="CG36" s="219">
        <v>0</v>
      </c>
      <c r="CH36" s="219">
        <v>0</v>
      </c>
      <c r="CI36" s="219">
        <v>0</v>
      </c>
      <c r="CJ36" s="219">
        <v>0</v>
      </c>
      <c r="CK36" s="219">
        <v>0</v>
      </c>
      <c r="CL36" s="219">
        <v>0</v>
      </c>
      <c r="CM36" s="219">
        <v>0</v>
      </c>
      <c r="CN36" s="219">
        <v>0</v>
      </c>
      <c r="CO36" s="219">
        <v>0</v>
      </c>
      <c r="CP36" s="219">
        <v>0</v>
      </c>
      <c r="CQ36" s="219">
        <v>0</v>
      </c>
      <c r="CR36" s="231">
        <v>0</v>
      </c>
    </row>
    <row r="37" spans="1:96" ht="16.5" customHeight="1" hidden="1">
      <c r="A37" s="230" t="s">
        <v>34</v>
      </c>
      <c r="B37" s="214">
        <v>2.7</v>
      </c>
      <c r="C37" s="215">
        <v>1.05</v>
      </c>
      <c r="D37" s="213">
        <v>0</v>
      </c>
      <c r="E37" s="213">
        <v>177.5</v>
      </c>
      <c r="F37" s="213">
        <f>402.18</f>
        <v>402.18</v>
      </c>
      <c r="G37" s="213">
        <v>548.81</v>
      </c>
      <c r="H37" s="213">
        <v>402.66</v>
      </c>
      <c r="I37" s="213">
        <v>268.99</v>
      </c>
      <c r="J37" s="218">
        <v>120.96</v>
      </c>
      <c r="K37" s="218">
        <v>39.95</v>
      </c>
      <c r="L37" s="219">
        <v>0</v>
      </c>
      <c r="M37" s="219">
        <v>0</v>
      </c>
      <c r="N37" s="219">
        <v>0</v>
      </c>
      <c r="O37" s="219">
        <v>0</v>
      </c>
      <c r="P37" s="219">
        <v>0</v>
      </c>
      <c r="Q37" s="220">
        <v>0</v>
      </c>
      <c r="R37" s="219">
        <v>0</v>
      </c>
      <c r="S37" s="220">
        <v>0</v>
      </c>
      <c r="T37" s="219">
        <v>0</v>
      </c>
      <c r="U37" s="219">
        <v>0</v>
      </c>
      <c r="V37" s="220">
        <v>0</v>
      </c>
      <c r="W37" s="219">
        <v>0</v>
      </c>
      <c r="X37" s="219">
        <v>0</v>
      </c>
      <c r="Y37" s="219">
        <v>0</v>
      </c>
      <c r="Z37" s="219">
        <v>0</v>
      </c>
      <c r="AA37" s="219">
        <v>0</v>
      </c>
      <c r="AB37" s="219">
        <v>0</v>
      </c>
      <c r="AC37" s="219">
        <v>0</v>
      </c>
      <c r="AD37" s="219">
        <v>0</v>
      </c>
      <c r="AE37" s="219">
        <v>0</v>
      </c>
      <c r="AF37" s="219">
        <v>0</v>
      </c>
      <c r="AG37" s="219">
        <v>0</v>
      </c>
      <c r="AH37" s="219">
        <v>0</v>
      </c>
      <c r="AI37" s="219">
        <v>0</v>
      </c>
      <c r="AJ37" s="219">
        <v>0</v>
      </c>
      <c r="AK37" s="219">
        <v>0</v>
      </c>
      <c r="AL37" s="219">
        <v>0</v>
      </c>
      <c r="AM37" s="219">
        <v>0</v>
      </c>
      <c r="AN37" s="219">
        <v>0</v>
      </c>
      <c r="AO37" s="219">
        <v>0</v>
      </c>
      <c r="AP37" s="219">
        <v>0</v>
      </c>
      <c r="AQ37" s="219">
        <v>0</v>
      </c>
      <c r="AR37" s="219">
        <v>0</v>
      </c>
      <c r="AS37" s="219">
        <v>0</v>
      </c>
      <c r="AT37" s="219">
        <v>0</v>
      </c>
      <c r="AU37" s="219">
        <v>0</v>
      </c>
      <c r="AV37" s="219">
        <v>0</v>
      </c>
      <c r="AW37" s="219">
        <v>0</v>
      </c>
      <c r="AX37" s="219">
        <v>0</v>
      </c>
      <c r="AY37" s="219">
        <v>0</v>
      </c>
      <c r="AZ37" s="219">
        <v>0</v>
      </c>
      <c r="BA37" s="219">
        <v>0</v>
      </c>
      <c r="BB37" s="219">
        <v>0</v>
      </c>
      <c r="BC37" s="219">
        <v>0</v>
      </c>
      <c r="BD37" s="219">
        <v>0</v>
      </c>
      <c r="BE37" s="219">
        <v>0</v>
      </c>
      <c r="BF37" s="219">
        <v>0</v>
      </c>
      <c r="BG37" s="219">
        <v>0</v>
      </c>
      <c r="BH37" s="219">
        <v>0</v>
      </c>
      <c r="BI37" s="219">
        <v>0</v>
      </c>
      <c r="BJ37" s="219">
        <v>0</v>
      </c>
      <c r="BK37" s="219">
        <v>0</v>
      </c>
      <c r="BL37" s="219">
        <v>0</v>
      </c>
      <c r="BM37" s="219">
        <v>0</v>
      </c>
      <c r="BN37" s="219">
        <v>0</v>
      </c>
      <c r="BO37" s="219">
        <v>0</v>
      </c>
      <c r="BP37" s="219">
        <v>0</v>
      </c>
      <c r="BQ37" s="219">
        <v>0</v>
      </c>
      <c r="BR37" s="219">
        <v>0</v>
      </c>
      <c r="BS37" s="219">
        <v>0</v>
      </c>
      <c r="BT37" s="219">
        <v>0</v>
      </c>
      <c r="BU37" s="219">
        <v>0</v>
      </c>
      <c r="BV37" s="219">
        <v>0</v>
      </c>
      <c r="BW37" s="219">
        <v>0</v>
      </c>
      <c r="BX37" s="219">
        <v>0</v>
      </c>
      <c r="BY37" s="219">
        <v>0</v>
      </c>
      <c r="BZ37" s="219">
        <v>0</v>
      </c>
      <c r="CA37" s="219">
        <v>0</v>
      </c>
      <c r="CB37" s="219">
        <v>0</v>
      </c>
      <c r="CC37" s="219">
        <v>0</v>
      </c>
      <c r="CD37" s="219">
        <v>0</v>
      </c>
      <c r="CE37" s="219">
        <v>0</v>
      </c>
      <c r="CF37" s="219">
        <v>0</v>
      </c>
      <c r="CG37" s="219">
        <v>0</v>
      </c>
      <c r="CH37" s="219">
        <v>0</v>
      </c>
      <c r="CI37" s="219">
        <v>0</v>
      </c>
      <c r="CJ37" s="219">
        <v>0</v>
      </c>
      <c r="CK37" s="219">
        <v>0</v>
      </c>
      <c r="CL37" s="219">
        <v>0</v>
      </c>
      <c r="CM37" s="219">
        <v>0</v>
      </c>
      <c r="CN37" s="219">
        <v>0</v>
      </c>
      <c r="CO37" s="219">
        <v>0</v>
      </c>
      <c r="CP37" s="219">
        <v>0</v>
      </c>
      <c r="CQ37" s="219">
        <v>0</v>
      </c>
      <c r="CR37" s="231">
        <v>0</v>
      </c>
    </row>
    <row r="38" spans="1:96" ht="16.5" customHeight="1" hidden="1">
      <c r="A38" s="230" t="s">
        <v>35</v>
      </c>
      <c r="B38" s="214">
        <v>0</v>
      </c>
      <c r="C38" s="215">
        <v>0</v>
      </c>
      <c r="D38" s="213">
        <v>0</v>
      </c>
      <c r="E38" s="213">
        <v>0</v>
      </c>
      <c r="F38" s="213">
        <v>0.02</v>
      </c>
      <c r="G38" s="213">
        <v>0.1</v>
      </c>
      <c r="H38" s="213">
        <v>0.02</v>
      </c>
      <c r="I38" s="213">
        <v>0</v>
      </c>
      <c r="J38" s="218">
        <v>0</v>
      </c>
      <c r="K38" s="218">
        <v>0</v>
      </c>
      <c r="L38" s="219">
        <v>0</v>
      </c>
      <c r="M38" s="219">
        <v>0</v>
      </c>
      <c r="N38" s="219">
        <v>0</v>
      </c>
      <c r="O38" s="219">
        <v>0</v>
      </c>
      <c r="P38" s="219">
        <v>0</v>
      </c>
      <c r="Q38" s="220">
        <v>0</v>
      </c>
      <c r="R38" s="219">
        <v>0</v>
      </c>
      <c r="S38" s="220">
        <v>0</v>
      </c>
      <c r="T38" s="219">
        <v>0</v>
      </c>
      <c r="U38" s="219">
        <v>0</v>
      </c>
      <c r="V38" s="220">
        <v>0</v>
      </c>
      <c r="W38" s="219">
        <v>0</v>
      </c>
      <c r="X38" s="219">
        <v>0</v>
      </c>
      <c r="Y38" s="219">
        <v>0</v>
      </c>
      <c r="Z38" s="219">
        <v>0</v>
      </c>
      <c r="AA38" s="219">
        <v>0</v>
      </c>
      <c r="AB38" s="219">
        <v>0</v>
      </c>
      <c r="AC38" s="219">
        <v>0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19">
        <v>0</v>
      </c>
      <c r="AJ38" s="219">
        <v>0</v>
      </c>
      <c r="AK38" s="219">
        <v>0</v>
      </c>
      <c r="AL38" s="219">
        <v>0</v>
      </c>
      <c r="AM38" s="219">
        <v>0</v>
      </c>
      <c r="AN38" s="219">
        <v>0</v>
      </c>
      <c r="AO38" s="219">
        <v>0</v>
      </c>
      <c r="AP38" s="219">
        <v>0</v>
      </c>
      <c r="AQ38" s="219">
        <v>0</v>
      </c>
      <c r="AR38" s="219">
        <v>0</v>
      </c>
      <c r="AS38" s="219">
        <v>0</v>
      </c>
      <c r="AT38" s="219">
        <v>0</v>
      </c>
      <c r="AU38" s="219">
        <v>0</v>
      </c>
      <c r="AV38" s="219">
        <v>0</v>
      </c>
      <c r="AW38" s="219">
        <v>0</v>
      </c>
      <c r="AX38" s="219">
        <v>0</v>
      </c>
      <c r="AY38" s="219">
        <v>0</v>
      </c>
      <c r="AZ38" s="219">
        <v>0</v>
      </c>
      <c r="BA38" s="219">
        <v>0</v>
      </c>
      <c r="BB38" s="219">
        <v>0</v>
      </c>
      <c r="BC38" s="219">
        <v>0</v>
      </c>
      <c r="BD38" s="219">
        <v>0</v>
      </c>
      <c r="BE38" s="219">
        <v>0</v>
      </c>
      <c r="BF38" s="219">
        <v>0</v>
      </c>
      <c r="BG38" s="219">
        <v>0</v>
      </c>
      <c r="BH38" s="219">
        <v>0</v>
      </c>
      <c r="BI38" s="219">
        <v>0</v>
      </c>
      <c r="BJ38" s="219">
        <v>0</v>
      </c>
      <c r="BK38" s="219">
        <v>0</v>
      </c>
      <c r="BL38" s="219">
        <v>0</v>
      </c>
      <c r="BM38" s="219">
        <v>0</v>
      </c>
      <c r="BN38" s="219">
        <v>0</v>
      </c>
      <c r="BO38" s="219">
        <v>0</v>
      </c>
      <c r="BP38" s="219">
        <v>0</v>
      </c>
      <c r="BQ38" s="219">
        <v>0</v>
      </c>
      <c r="BR38" s="219">
        <v>0</v>
      </c>
      <c r="BS38" s="219">
        <v>0</v>
      </c>
      <c r="BT38" s="219">
        <v>0</v>
      </c>
      <c r="BU38" s="219">
        <v>0</v>
      </c>
      <c r="BV38" s="219">
        <v>0</v>
      </c>
      <c r="BW38" s="219">
        <v>0</v>
      </c>
      <c r="BX38" s="219">
        <v>0</v>
      </c>
      <c r="BY38" s="219">
        <v>0</v>
      </c>
      <c r="BZ38" s="219">
        <v>0</v>
      </c>
      <c r="CA38" s="219">
        <v>0</v>
      </c>
      <c r="CB38" s="219">
        <v>0</v>
      </c>
      <c r="CC38" s="219">
        <v>0</v>
      </c>
      <c r="CD38" s="219">
        <v>0</v>
      </c>
      <c r="CE38" s="219">
        <v>0</v>
      </c>
      <c r="CF38" s="219">
        <v>0</v>
      </c>
      <c r="CG38" s="219">
        <v>0</v>
      </c>
      <c r="CH38" s="219">
        <v>0</v>
      </c>
      <c r="CI38" s="219">
        <v>0</v>
      </c>
      <c r="CJ38" s="219">
        <v>0</v>
      </c>
      <c r="CK38" s="219">
        <v>0</v>
      </c>
      <c r="CL38" s="219">
        <v>0</v>
      </c>
      <c r="CM38" s="219">
        <v>0</v>
      </c>
      <c r="CN38" s="219">
        <v>0</v>
      </c>
      <c r="CO38" s="219">
        <v>0</v>
      </c>
      <c r="CP38" s="219">
        <v>0</v>
      </c>
      <c r="CQ38" s="219">
        <v>0</v>
      </c>
      <c r="CR38" s="231">
        <v>0</v>
      </c>
    </row>
    <row r="39" spans="1:96" ht="16.5" customHeight="1" hidden="1">
      <c r="A39" s="228" t="s">
        <v>36</v>
      </c>
      <c r="B39" s="212">
        <f aca="true" t="shared" si="20" ref="B39:K39">SUM(B40:B42)</f>
        <v>25285.510000000002</v>
      </c>
      <c r="C39" s="212">
        <f t="shared" si="20"/>
        <v>33776.4</v>
      </c>
      <c r="D39" s="212">
        <f t="shared" si="20"/>
        <v>43793.82</v>
      </c>
      <c r="E39" s="212">
        <f t="shared" si="20"/>
        <v>51136.75</v>
      </c>
      <c r="F39" s="212">
        <f t="shared" si="20"/>
        <v>55147.33</v>
      </c>
      <c r="G39" s="212">
        <f t="shared" si="20"/>
        <v>56381.799999999996</v>
      </c>
      <c r="H39" s="212">
        <f t="shared" si="20"/>
        <v>59868.5</v>
      </c>
      <c r="I39" s="212">
        <f t="shared" si="20"/>
        <v>76149.6</v>
      </c>
      <c r="J39" s="217">
        <f t="shared" si="20"/>
        <v>100556.4</v>
      </c>
      <c r="K39" s="217">
        <f t="shared" si="20"/>
        <v>136493.8</v>
      </c>
      <c r="L39" s="217">
        <f aca="true" t="shared" si="21" ref="L39:AT39">L40+L41+L42</f>
        <v>182510.26032</v>
      </c>
      <c r="M39" s="217">
        <f t="shared" si="21"/>
        <v>178723.03448</v>
      </c>
      <c r="N39" s="217">
        <f t="shared" si="21"/>
        <v>181494.6165</v>
      </c>
      <c r="O39" s="217">
        <f t="shared" si="21"/>
        <v>187476.541801</v>
      </c>
      <c r="P39" s="217">
        <f t="shared" si="21"/>
        <v>184007.58496</v>
      </c>
      <c r="Q39" s="217">
        <f t="shared" si="21"/>
        <v>189121.47608</v>
      </c>
      <c r="R39" s="217">
        <f t="shared" si="21"/>
        <v>202388.04462</v>
      </c>
      <c r="S39" s="217">
        <f t="shared" si="21"/>
        <v>192954.63157</v>
      </c>
      <c r="T39" s="217">
        <f t="shared" si="21"/>
        <v>195975.12888</v>
      </c>
      <c r="U39" s="217">
        <f t="shared" si="21"/>
        <v>200634.5</v>
      </c>
      <c r="V39" s="217">
        <f t="shared" si="21"/>
        <v>199580.80933</v>
      </c>
      <c r="W39" s="217">
        <f t="shared" si="21"/>
        <v>201455.63009</v>
      </c>
      <c r="X39" s="217">
        <f t="shared" si="21"/>
        <v>210388.6</v>
      </c>
      <c r="Y39" s="217">
        <f t="shared" si="21"/>
        <v>207511.9</v>
      </c>
      <c r="Z39" s="217">
        <f t="shared" si="21"/>
        <v>217778.5</v>
      </c>
      <c r="AA39" s="217">
        <f t="shared" si="21"/>
        <v>222624.09999999998</v>
      </c>
      <c r="AB39" s="217">
        <f t="shared" si="21"/>
        <v>223952.8</v>
      </c>
      <c r="AC39" s="217">
        <f t="shared" si="21"/>
        <v>224749.2</v>
      </c>
      <c r="AD39" s="217">
        <f t="shared" si="21"/>
        <v>219100.9</v>
      </c>
      <c r="AE39" s="217">
        <f t="shared" si="21"/>
        <v>223454.6</v>
      </c>
      <c r="AF39" s="217">
        <f t="shared" si="21"/>
        <v>218464.4</v>
      </c>
      <c r="AG39" s="217">
        <f t="shared" si="21"/>
        <v>222804.5</v>
      </c>
      <c r="AH39" s="217">
        <f t="shared" si="21"/>
        <v>225335.58604000002</v>
      </c>
      <c r="AI39" s="217">
        <f t="shared" si="21"/>
        <v>227302</v>
      </c>
      <c r="AJ39" s="217">
        <f t="shared" si="21"/>
        <v>226841.9</v>
      </c>
      <c r="AK39" s="217">
        <f t="shared" si="21"/>
        <v>226822.3</v>
      </c>
      <c r="AL39" s="217">
        <f t="shared" si="21"/>
        <v>235942.09999999998</v>
      </c>
      <c r="AM39" s="217">
        <f t="shared" si="21"/>
        <v>238452.66</v>
      </c>
      <c r="AN39" s="217">
        <f t="shared" si="21"/>
        <v>238986.6</v>
      </c>
      <c r="AO39" s="217">
        <f t="shared" si="21"/>
        <v>235516.1</v>
      </c>
      <c r="AP39" s="217">
        <f t="shared" si="21"/>
        <v>239716.8</v>
      </c>
      <c r="AQ39" s="217">
        <f t="shared" si="21"/>
        <v>237881.7</v>
      </c>
      <c r="AR39" s="217">
        <f t="shared" si="21"/>
        <v>238895.5</v>
      </c>
      <c r="AS39" s="217">
        <f t="shared" si="21"/>
        <v>246545.90000000002</v>
      </c>
      <c r="AT39" s="217">
        <f t="shared" si="21"/>
        <v>251459.3</v>
      </c>
      <c r="AU39" s="217">
        <v>246739.2</v>
      </c>
      <c r="AV39" s="217">
        <f aca="true" t="shared" si="22" ref="AV39:CM39">AV40+AV41+AV42</f>
        <v>252179.8</v>
      </c>
      <c r="AW39" s="217">
        <f t="shared" si="22"/>
        <v>255987.2</v>
      </c>
      <c r="AX39" s="217">
        <f t="shared" si="22"/>
        <v>259457.68</v>
      </c>
      <c r="AY39" s="217">
        <f t="shared" si="22"/>
        <v>254545.90000000002</v>
      </c>
      <c r="AZ39" s="217">
        <f t="shared" si="22"/>
        <v>261542.13</v>
      </c>
      <c r="BA39" s="217">
        <f t="shared" si="22"/>
        <v>255580.2</v>
      </c>
      <c r="BB39" s="217">
        <f t="shared" si="22"/>
        <v>257060.7</v>
      </c>
      <c r="BC39" s="217">
        <f t="shared" si="22"/>
        <v>255083.9</v>
      </c>
      <c r="BD39" s="217">
        <f t="shared" si="22"/>
        <v>255443.59999999998</v>
      </c>
      <c r="BE39" s="217">
        <f t="shared" si="22"/>
        <v>253959.22999999998</v>
      </c>
      <c r="BF39" s="217">
        <f t="shared" si="22"/>
        <v>261718.59999999998</v>
      </c>
      <c r="BG39" s="217">
        <f t="shared" si="22"/>
        <v>265653.60000000003</v>
      </c>
      <c r="BH39" s="217">
        <f t="shared" si="22"/>
        <v>280763.80000000005</v>
      </c>
      <c r="BI39" s="217">
        <f t="shared" si="22"/>
        <v>268239.7</v>
      </c>
      <c r="BJ39" s="217">
        <f t="shared" si="22"/>
        <v>272404.30000000005</v>
      </c>
      <c r="BK39" s="217">
        <f t="shared" si="22"/>
        <v>268935.1</v>
      </c>
      <c r="BL39" s="217">
        <f t="shared" si="22"/>
        <v>265250.9</v>
      </c>
      <c r="BM39" s="217">
        <f t="shared" si="22"/>
        <v>266229.1</v>
      </c>
      <c r="BN39" s="217">
        <f t="shared" si="22"/>
        <v>273834.7</v>
      </c>
      <c r="BO39" s="217">
        <f t="shared" si="22"/>
        <v>268640.8</v>
      </c>
      <c r="BP39" s="217">
        <f t="shared" si="22"/>
        <v>270339.9</v>
      </c>
      <c r="BQ39" s="217">
        <f t="shared" si="22"/>
        <v>272131.4</v>
      </c>
      <c r="BR39" s="217">
        <f t="shared" si="22"/>
        <v>277077.8</v>
      </c>
      <c r="BS39" s="217">
        <f t="shared" si="22"/>
        <v>281841</v>
      </c>
      <c r="BT39" s="217">
        <f t="shared" si="22"/>
        <v>299142.6</v>
      </c>
      <c r="BU39" s="217">
        <f t="shared" si="22"/>
        <v>290246.1</v>
      </c>
      <c r="BV39" s="217">
        <f t="shared" si="22"/>
        <v>294597.58</v>
      </c>
      <c r="BW39" s="217">
        <f t="shared" si="22"/>
        <v>293582.4</v>
      </c>
      <c r="BX39" s="217">
        <f t="shared" si="22"/>
        <v>297926.2</v>
      </c>
      <c r="BY39" s="217">
        <f t="shared" si="22"/>
        <v>306275.48</v>
      </c>
      <c r="BZ39" s="217">
        <f t="shared" si="22"/>
        <v>302421.1</v>
      </c>
      <c r="CA39" s="217">
        <f t="shared" si="22"/>
        <v>300994.8</v>
      </c>
      <c r="CB39" s="217">
        <f t="shared" si="22"/>
        <v>296362.8</v>
      </c>
      <c r="CC39" s="217">
        <f t="shared" si="22"/>
        <v>298090.6</v>
      </c>
      <c r="CD39" s="217">
        <f t="shared" si="22"/>
        <v>303627.5</v>
      </c>
      <c r="CE39" s="217">
        <f t="shared" si="22"/>
        <v>309343.80000000005</v>
      </c>
      <c r="CF39" s="217">
        <f t="shared" si="22"/>
        <v>323482.05</v>
      </c>
      <c r="CG39" s="217">
        <f t="shared" si="22"/>
        <v>317877.30000000005</v>
      </c>
      <c r="CH39" s="217">
        <f t="shared" si="22"/>
        <v>322256.69999999995</v>
      </c>
      <c r="CI39" s="217">
        <f t="shared" si="22"/>
        <v>326781</v>
      </c>
      <c r="CJ39" s="217">
        <f t="shared" si="22"/>
        <v>326123.8</v>
      </c>
      <c r="CK39" s="217">
        <f t="shared" si="22"/>
        <v>337023.2</v>
      </c>
      <c r="CL39" s="217">
        <f t="shared" si="22"/>
        <v>336593.39999999997</v>
      </c>
      <c r="CM39" s="217">
        <f t="shared" si="22"/>
        <v>330993.9</v>
      </c>
      <c r="CN39" s="217">
        <f>CN40+CN41+CN42</f>
        <v>333090.5</v>
      </c>
      <c r="CO39" s="217">
        <f>CO40+CO41+CO42</f>
        <v>328871.2</v>
      </c>
      <c r="CP39" s="217">
        <f>CP40+CP41+CP42</f>
        <v>337195.7</v>
      </c>
      <c r="CQ39" s="217">
        <f>CQ40+CQ41+CQ42</f>
        <v>342564.6</v>
      </c>
      <c r="CR39" s="229">
        <f>CR40+CR41+CR42</f>
        <v>352996.6</v>
      </c>
    </row>
    <row r="40" spans="1:96" ht="16.5" customHeight="1" hidden="1">
      <c r="A40" s="232" t="s">
        <v>37</v>
      </c>
      <c r="B40" s="213">
        <v>4658.65</v>
      </c>
      <c r="C40" s="213">
        <v>6421.2</v>
      </c>
      <c r="D40" s="213">
        <v>8167.6</v>
      </c>
      <c r="E40" s="213">
        <v>7939.65</v>
      </c>
      <c r="F40" s="213">
        <v>9657.13</v>
      </c>
      <c r="G40" s="213">
        <v>9383.6</v>
      </c>
      <c r="H40" s="213">
        <v>20951.3</v>
      </c>
      <c r="I40" s="213">
        <v>31922.2</v>
      </c>
      <c r="J40" s="218">
        <v>49526.6</v>
      </c>
      <c r="K40" s="218">
        <v>51566.6</v>
      </c>
      <c r="L40" s="219">
        <v>64095.9</v>
      </c>
      <c r="M40" s="219">
        <v>60045.8</v>
      </c>
      <c r="N40" s="219">
        <v>61758.06</v>
      </c>
      <c r="O40" s="219">
        <v>64965.326</v>
      </c>
      <c r="P40" s="219">
        <v>61726.4</v>
      </c>
      <c r="Q40" s="220">
        <v>61234.8</v>
      </c>
      <c r="R40" s="219">
        <v>65827.13</v>
      </c>
      <c r="S40" s="220">
        <v>58388.8</v>
      </c>
      <c r="T40" s="219">
        <v>60795.8</v>
      </c>
      <c r="U40" s="219">
        <v>61109.5</v>
      </c>
      <c r="V40" s="220">
        <v>63297.9</v>
      </c>
      <c r="W40" s="219">
        <v>62678.4</v>
      </c>
      <c r="X40" s="219">
        <v>67788.9</v>
      </c>
      <c r="Y40" s="219">
        <v>61997.7</v>
      </c>
      <c r="Z40" s="219">
        <v>63445.6</v>
      </c>
      <c r="AA40" s="219">
        <v>63116.9</v>
      </c>
      <c r="AB40" s="219">
        <v>59875.5</v>
      </c>
      <c r="AC40" s="219">
        <v>57477.7</v>
      </c>
      <c r="AD40" s="219">
        <v>50853.4</v>
      </c>
      <c r="AE40" s="219">
        <v>50670.8</v>
      </c>
      <c r="AF40" s="219">
        <v>49345.1</v>
      </c>
      <c r="AG40" s="219">
        <v>47722.8</v>
      </c>
      <c r="AH40" s="219">
        <v>52253.6</v>
      </c>
      <c r="AI40" s="219">
        <v>47681.1</v>
      </c>
      <c r="AJ40" s="219">
        <v>43428.3</v>
      </c>
      <c r="AK40" s="219">
        <v>35152.8</v>
      </c>
      <c r="AL40" s="219">
        <v>36139.7</v>
      </c>
      <c r="AM40" s="219">
        <v>37695.2</v>
      </c>
      <c r="AN40" s="219">
        <v>36340</v>
      </c>
      <c r="AO40" s="219">
        <v>29392.7</v>
      </c>
      <c r="AP40" s="219">
        <v>29032</v>
      </c>
      <c r="AQ40" s="219">
        <v>29995.4</v>
      </c>
      <c r="AR40" s="219">
        <v>29555.4</v>
      </c>
      <c r="AS40" s="219">
        <v>28130.9</v>
      </c>
      <c r="AT40" s="219">
        <v>30100.45</v>
      </c>
      <c r="AU40" s="219">
        <v>27209.7</v>
      </c>
      <c r="AV40" s="219">
        <v>29453.9</v>
      </c>
      <c r="AW40" s="219">
        <v>22006.3</v>
      </c>
      <c r="AX40" s="219">
        <v>23945.54</v>
      </c>
      <c r="AY40" s="219">
        <v>22008.3</v>
      </c>
      <c r="AZ40" s="219">
        <v>26418.03</v>
      </c>
      <c r="BA40" s="219">
        <v>25382.9</v>
      </c>
      <c r="BB40" s="219">
        <v>23987.6</v>
      </c>
      <c r="BC40" s="219">
        <v>22979.9</v>
      </c>
      <c r="BD40" s="219">
        <v>21961.8</v>
      </c>
      <c r="BE40" s="219">
        <v>18742.4</v>
      </c>
      <c r="BF40" s="219">
        <v>23262.2</v>
      </c>
      <c r="BG40" s="219">
        <v>24826.3</v>
      </c>
      <c r="BH40" s="219">
        <v>35713</v>
      </c>
      <c r="BI40" s="219">
        <v>27364</v>
      </c>
      <c r="BJ40" s="219">
        <v>28597.5</v>
      </c>
      <c r="BK40" s="219">
        <v>28789.2</v>
      </c>
      <c r="BL40" s="219">
        <v>31421.9</v>
      </c>
      <c r="BM40" s="219">
        <v>30114.6</v>
      </c>
      <c r="BN40" s="219">
        <v>32801.2</v>
      </c>
      <c r="BO40" s="219">
        <v>31412.9</v>
      </c>
      <c r="BP40" s="219">
        <v>31217.4</v>
      </c>
      <c r="BQ40" s="219">
        <v>31039.8</v>
      </c>
      <c r="BR40" s="219">
        <v>31200.1</v>
      </c>
      <c r="BS40" s="219">
        <v>32001.6</v>
      </c>
      <c r="BT40" s="219">
        <v>44695.3</v>
      </c>
      <c r="BU40" s="219">
        <v>39750.75</v>
      </c>
      <c r="BV40" s="219">
        <v>42212.5</v>
      </c>
      <c r="BW40" s="219">
        <v>37951</v>
      </c>
      <c r="BX40" s="219">
        <v>39133.4</v>
      </c>
      <c r="BY40" s="219">
        <v>45554.2</v>
      </c>
      <c r="BZ40" s="219">
        <v>45320.7</v>
      </c>
      <c r="CA40" s="219">
        <v>43803.2</v>
      </c>
      <c r="CB40" s="219">
        <v>42663.6</v>
      </c>
      <c r="CC40" s="219">
        <v>41988.1</v>
      </c>
      <c r="CD40" s="219">
        <v>37969.8</v>
      </c>
      <c r="CE40" s="219">
        <v>41442</v>
      </c>
      <c r="CF40" s="219">
        <v>53619.9</v>
      </c>
      <c r="CG40" s="219">
        <v>47684.1</v>
      </c>
      <c r="CH40" s="219">
        <v>49870.2</v>
      </c>
      <c r="CI40" s="219">
        <v>50648.8</v>
      </c>
      <c r="CJ40" s="219">
        <v>47802.4</v>
      </c>
      <c r="CK40" s="219">
        <v>46640.3</v>
      </c>
      <c r="CL40" s="219">
        <v>50518.2</v>
      </c>
      <c r="CM40" s="219">
        <v>49637.9</v>
      </c>
      <c r="CN40" s="219">
        <v>46128.5</v>
      </c>
      <c r="CO40" s="219">
        <v>43884.5</v>
      </c>
      <c r="CP40" s="219">
        <v>47511.2</v>
      </c>
      <c r="CQ40" s="219">
        <v>50859.4</v>
      </c>
      <c r="CR40" s="231">
        <v>60863</v>
      </c>
    </row>
    <row r="41" spans="1:96" ht="16.5" customHeight="1" hidden="1">
      <c r="A41" s="232" t="s">
        <v>38</v>
      </c>
      <c r="B41" s="214">
        <f>2612.7+2779.7</f>
        <v>5392.4</v>
      </c>
      <c r="C41" s="215">
        <f>4290.3+2751.5</f>
        <v>7041.8</v>
      </c>
      <c r="D41" s="213">
        <f>4459.9+3582.7</f>
        <v>8042.599999999999</v>
      </c>
      <c r="E41" s="213">
        <f>3698.1+3561.4</f>
        <v>7259.5</v>
      </c>
      <c r="F41" s="213">
        <f>3654.6+4732.2</f>
        <v>8386.8</v>
      </c>
      <c r="G41" s="213">
        <f>1984.9+6213.6</f>
        <v>8198.5</v>
      </c>
      <c r="H41" s="213">
        <f>1197.8+4177.4</f>
        <v>5375.2</v>
      </c>
      <c r="I41" s="213">
        <f>8289.5+722.4</f>
        <v>9011.9</v>
      </c>
      <c r="J41" s="218">
        <f>10347.4+365.1</f>
        <v>10712.5</v>
      </c>
      <c r="K41" s="218">
        <f>27085.5+10.6</f>
        <v>27096.1</v>
      </c>
      <c r="L41" s="219">
        <v>42792.21392</v>
      </c>
      <c r="M41" s="219">
        <v>30984.10196</v>
      </c>
      <c r="N41" s="219">
        <v>43143.016</v>
      </c>
      <c r="O41" s="219">
        <v>43041.952217</v>
      </c>
      <c r="P41" s="219">
        <v>31379.52976</v>
      </c>
      <c r="Q41" s="220">
        <v>35674.54832</v>
      </c>
      <c r="R41" s="219">
        <v>56830.34364</v>
      </c>
      <c r="S41" s="220">
        <v>54777.34612</v>
      </c>
      <c r="T41" s="219">
        <v>55591.58912</v>
      </c>
      <c r="U41" s="219">
        <v>56632.7</v>
      </c>
      <c r="V41" s="220">
        <v>54080.87972</v>
      </c>
      <c r="W41" s="219">
        <v>55031.29156</v>
      </c>
      <c r="X41" s="219">
        <v>55152.1</v>
      </c>
      <c r="Y41" s="219">
        <v>55507</v>
      </c>
      <c r="Z41" s="219">
        <v>62929</v>
      </c>
      <c r="AA41" s="219">
        <v>64614.5</v>
      </c>
      <c r="AB41" s="219">
        <v>68288.2</v>
      </c>
      <c r="AC41" s="219">
        <v>71250</v>
      </c>
      <c r="AD41" s="219">
        <v>72050.1</v>
      </c>
      <c r="AE41" s="219">
        <v>73690.8</v>
      </c>
      <c r="AF41" s="219">
        <v>72788.3</v>
      </c>
      <c r="AG41" s="219">
        <v>74469.55</v>
      </c>
      <c r="AH41" s="219">
        <v>72285.81432</v>
      </c>
      <c r="AI41" s="219">
        <v>71845.85</v>
      </c>
      <c r="AJ41" s="219">
        <v>77365.7</v>
      </c>
      <c r="AK41" s="219">
        <v>87069.8</v>
      </c>
      <c r="AL41" s="219">
        <v>89885.2</v>
      </c>
      <c r="AM41" s="219">
        <v>88986.63</v>
      </c>
      <c r="AN41" s="219">
        <v>92646.8</v>
      </c>
      <c r="AO41" s="219">
        <v>94809.6</v>
      </c>
      <c r="AP41" s="219">
        <v>97217.9</v>
      </c>
      <c r="AQ41" s="219">
        <v>96567.45</v>
      </c>
      <c r="AR41" s="219">
        <v>96217.2</v>
      </c>
      <c r="AS41" s="219">
        <v>98188.2</v>
      </c>
      <c r="AT41" s="219">
        <v>96118.25</v>
      </c>
      <c r="AU41" s="219">
        <v>94989.4</v>
      </c>
      <c r="AV41" s="219">
        <v>94759.7</v>
      </c>
      <c r="AW41" s="219">
        <v>97760.8</v>
      </c>
      <c r="AX41" s="219">
        <v>99676.9</v>
      </c>
      <c r="AY41" s="219">
        <v>97151.4</v>
      </c>
      <c r="AZ41" s="219">
        <v>93083.85</v>
      </c>
      <c r="BA41" s="219">
        <v>87610.05</v>
      </c>
      <c r="BB41" s="219">
        <v>88861.4</v>
      </c>
      <c r="BC41" s="219">
        <v>84907.7</v>
      </c>
      <c r="BD41" s="219">
        <v>87030</v>
      </c>
      <c r="BE41" s="219">
        <v>87161.15</v>
      </c>
      <c r="BF41" s="219">
        <v>81970.5</v>
      </c>
      <c r="BG41" s="219">
        <v>84894.6</v>
      </c>
      <c r="BH41" s="219">
        <v>83930.1</v>
      </c>
      <c r="BI41" s="219">
        <v>85977.2</v>
      </c>
      <c r="BJ41" s="219">
        <v>86276.1</v>
      </c>
      <c r="BK41" s="219">
        <v>82615.8</v>
      </c>
      <c r="BL41" s="219">
        <v>76546.1</v>
      </c>
      <c r="BM41" s="219">
        <v>76959.4</v>
      </c>
      <c r="BN41" s="219">
        <v>77890.8</v>
      </c>
      <c r="BO41" s="219">
        <v>74401.1</v>
      </c>
      <c r="BP41" s="219">
        <v>75538.6</v>
      </c>
      <c r="BQ41" s="219">
        <v>76457.6</v>
      </c>
      <c r="BR41" s="219">
        <v>71066.3</v>
      </c>
      <c r="BS41" s="219">
        <v>72960.6</v>
      </c>
      <c r="BT41" s="219">
        <v>74902.4</v>
      </c>
      <c r="BU41" s="219">
        <v>69877</v>
      </c>
      <c r="BV41" s="219">
        <v>66568.24</v>
      </c>
      <c r="BW41" s="219">
        <v>69694</v>
      </c>
      <c r="BX41" s="219">
        <v>71504.6</v>
      </c>
      <c r="BY41" s="219">
        <v>66597.14</v>
      </c>
      <c r="BZ41" s="219">
        <v>61460.6</v>
      </c>
      <c r="CA41" s="219">
        <v>62868.1</v>
      </c>
      <c r="CB41" s="219">
        <v>57773.1</v>
      </c>
      <c r="CC41" s="219">
        <v>59784.8</v>
      </c>
      <c r="CD41" s="219">
        <v>61751.7</v>
      </c>
      <c r="CE41" s="219">
        <v>62471.1</v>
      </c>
      <c r="CF41" s="219">
        <v>63433.15</v>
      </c>
      <c r="CG41" s="219">
        <v>64503.5</v>
      </c>
      <c r="CH41" s="219">
        <v>65483.6</v>
      </c>
      <c r="CI41" s="219">
        <v>68594.9</v>
      </c>
      <c r="CJ41" s="219">
        <v>70948.5</v>
      </c>
      <c r="CK41" s="219">
        <v>73333.2</v>
      </c>
      <c r="CL41" s="219">
        <v>75458.9</v>
      </c>
      <c r="CM41" s="219">
        <v>68573.8</v>
      </c>
      <c r="CN41" s="219">
        <v>70361</v>
      </c>
      <c r="CO41" s="219">
        <v>71876.2</v>
      </c>
      <c r="CP41" s="219">
        <v>71873.9</v>
      </c>
      <c r="CQ41" s="219">
        <v>72545.7</v>
      </c>
      <c r="CR41" s="231">
        <v>72187</v>
      </c>
    </row>
    <row r="42" spans="1:96" ht="16.5" customHeight="1" hidden="1">
      <c r="A42" s="232" t="s">
        <v>39</v>
      </c>
      <c r="B42" s="214">
        <f>3474.7+11745.2+14.56</f>
        <v>15234.460000000001</v>
      </c>
      <c r="C42" s="215">
        <f>5963.5+14337.2+12.7</f>
        <v>20313.4</v>
      </c>
      <c r="D42" s="213">
        <f>7267+20305.7+10.92</f>
        <v>27583.62</v>
      </c>
      <c r="E42" s="213">
        <f>11837.6+24090.9+9.1</f>
        <v>35937.6</v>
      </c>
      <c r="F42" s="213">
        <f>12347.6+24734.2+21.6</f>
        <v>37103.4</v>
      </c>
      <c r="G42" s="213">
        <f>11496.1+26773+530.6</f>
        <v>38799.7</v>
      </c>
      <c r="H42" s="213">
        <f>8717+24126.4+698.6</f>
        <v>33542</v>
      </c>
      <c r="I42" s="213">
        <f>1662.7+7701.6+25851.2</f>
        <v>35215.5</v>
      </c>
      <c r="J42" s="218">
        <f>1649.1+8108.3+30559.9</f>
        <v>40317.3</v>
      </c>
      <c r="K42" s="218">
        <f>5697+11687.7+40446.4</f>
        <v>57831.100000000006</v>
      </c>
      <c r="L42" s="219">
        <v>75622.1464</v>
      </c>
      <c r="M42" s="219">
        <v>87693.13252</v>
      </c>
      <c r="N42" s="219">
        <v>76593.5405</v>
      </c>
      <c r="O42" s="219">
        <v>79469.263584</v>
      </c>
      <c r="P42" s="219">
        <v>90901.6552</v>
      </c>
      <c r="Q42" s="220">
        <v>92212.12776</v>
      </c>
      <c r="R42" s="219">
        <v>79730.57098</v>
      </c>
      <c r="S42" s="220">
        <v>79788.48545</v>
      </c>
      <c r="T42" s="219">
        <v>79587.73976</v>
      </c>
      <c r="U42" s="219">
        <v>82892.3</v>
      </c>
      <c r="V42" s="220">
        <v>82202.02961</v>
      </c>
      <c r="W42" s="219">
        <v>83745.93853</v>
      </c>
      <c r="X42" s="219">
        <v>87447.6</v>
      </c>
      <c r="Y42" s="219">
        <v>90007.2</v>
      </c>
      <c r="Z42" s="219">
        <v>91403.9</v>
      </c>
      <c r="AA42" s="219">
        <v>94892.7</v>
      </c>
      <c r="AB42" s="219">
        <v>95789.1</v>
      </c>
      <c r="AC42" s="219">
        <v>96021.5</v>
      </c>
      <c r="AD42" s="219">
        <v>96197.4</v>
      </c>
      <c r="AE42" s="219">
        <v>99093</v>
      </c>
      <c r="AF42" s="219">
        <v>96331</v>
      </c>
      <c r="AG42" s="219">
        <v>100612.15</v>
      </c>
      <c r="AH42" s="219">
        <v>100796.17172</v>
      </c>
      <c r="AI42" s="219">
        <v>107775.05</v>
      </c>
      <c r="AJ42" s="219">
        <v>106047.9</v>
      </c>
      <c r="AK42" s="219">
        <v>104599.7</v>
      </c>
      <c r="AL42" s="219">
        <v>109917.2</v>
      </c>
      <c r="AM42" s="219">
        <v>111770.83</v>
      </c>
      <c r="AN42" s="219">
        <v>109999.8</v>
      </c>
      <c r="AO42" s="219">
        <v>111313.8</v>
      </c>
      <c r="AP42" s="219">
        <v>113466.9</v>
      </c>
      <c r="AQ42" s="219">
        <v>111318.85</v>
      </c>
      <c r="AR42" s="219">
        <v>113122.9</v>
      </c>
      <c r="AS42" s="219">
        <v>120226.8</v>
      </c>
      <c r="AT42" s="219">
        <v>125240.6</v>
      </c>
      <c r="AU42" s="219">
        <v>124540.1</v>
      </c>
      <c r="AV42" s="219">
        <v>127966.2</v>
      </c>
      <c r="AW42" s="219">
        <v>136220.1</v>
      </c>
      <c r="AX42" s="219">
        <v>135835.24</v>
      </c>
      <c r="AY42" s="219">
        <v>135386.2</v>
      </c>
      <c r="AZ42" s="219">
        <v>142040.25</v>
      </c>
      <c r="BA42" s="219">
        <v>142587.25</v>
      </c>
      <c r="BB42" s="219">
        <v>144211.7</v>
      </c>
      <c r="BC42" s="219">
        <v>147196.3</v>
      </c>
      <c r="BD42" s="219">
        <v>146451.8</v>
      </c>
      <c r="BE42" s="219">
        <v>148055.68</v>
      </c>
      <c r="BF42" s="219">
        <v>156485.9</v>
      </c>
      <c r="BG42" s="219">
        <v>155932.7</v>
      </c>
      <c r="BH42" s="219">
        <v>161120.7</v>
      </c>
      <c r="BI42" s="219">
        <v>154898.5</v>
      </c>
      <c r="BJ42" s="219">
        <v>157530.7</v>
      </c>
      <c r="BK42" s="219">
        <v>157530.1</v>
      </c>
      <c r="BL42" s="219">
        <v>157282.9</v>
      </c>
      <c r="BM42" s="219">
        <v>159155.1</v>
      </c>
      <c r="BN42" s="219">
        <v>163142.7</v>
      </c>
      <c r="BO42" s="219">
        <v>162826.8</v>
      </c>
      <c r="BP42" s="219">
        <v>163583.9</v>
      </c>
      <c r="BQ42" s="219">
        <v>164634</v>
      </c>
      <c r="BR42" s="219">
        <v>174811.4</v>
      </c>
      <c r="BS42" s="219">
        <v>176878.8</v>
      </c>
      <c r="BT42" s="219">
        <v>179544.9</v>
      </c>
      <c r="BU42" s="219">
        <v>180618.35</v>
      </c>
      <c r="BV42" s="219">
        <v>185816.84</v>
      </c>
      <c r="BW42" s="219">
        <v>185937.4</v>
      </c>
      <c r="BX42" s="219">
        <v>187288.2</v>
      </c>
      <c r="BY42" s="219">
        <v>194124.14</v>
      </c>
      <c r="BZ42" s="219">
        <v>195639.8</v>
      </c>
      <c r="CA42" s="219">
        <v>194323.5</v>
      </c>
      <c r="CB42" s="219">
        <v>195926.1</v>
      </c>
      <c r="CC42" s="219">
        <v>196317.7</v>
      </c>
      <c r="CD42" s="219">
        <v>203906</v>
      </c>
      <c r="CE42" s="219">
        <v>205430.7</v>
      </c>
      <c r="CF42" s="219">
        <v>206429</v>
      </c>
      <c r="CG42" s="219">
        <v>205689.7</v>
      </c>
      <c r="CH42" s="219">
        <v>206902.9</v>
      </c>
      <c r="CI42" s="219">
        <v>207537.3</v>
      </c>
      <c r="CJ42" s="219">
        <v>207372.9</v>
      </c>
      <c r="CK42" s="219">
        <v>217049.7</v>
      </c>
      <c r="CL42" s="219">
        <v>210616.3</v>
      </c>
      <c r="CM42" s="219">
        <v>212782.2</v>
      </c>
      <c r="CN42" s="219">
        <v>216601</v>
      </c>
      <c r="CO42" s="219">
        <v>213110.5</v>
      </c>
      <c r="CP42" s="219">
        <v>217810.6</v>
      </c>
      <c r="CQ42" s="219">
        <v>219159.5</v>
      </c>
      <c r="CR42" s="231">
        <v>219946.6</v>
      </c>
    </row>
    <row r="43" spans="1:96" ht="16.5" customHeight="1" hidden="1">
      <c r="A43" s="228" t="s">
        <v>40</v>
      </c>
      <c r="B43" s="216">
        <f aca="true" t="shared" si="23" ref="B43:AT43">SUM(B44:B45)</f>
        <v>25285.5</v>
      </c>
      <c r="C43" s="216">
        <f t="shared" si="23"/>
        <v>33776.4</v>
      </c>
      <c r="D43" s="216">
        <f t="shared" si="23"/>
        <v>43793.78</v>
      </c>
      <c r="E43" s="216">
        <f t="shared" si="23"/>
        <v>51136.82</v>
      </c>
      <c r="F43" s="216">
        <f t="shared" si="23"/>
        <v>55147.31614</v>
      </c>
      <c r="G43" s="216">
        <f t="shared" si="23"/>
        <v>56381.76</v>
      </c>
      <c r="H43" s="216">
        <f t="shared" si="23"/>
        <v>59868.520000000004</v>
      </c>
      <c r="I43" s="216">
        <f t="shared" si="23"/>
        <v>76149.6</v>
      </c>
      <c r="J43" s="222">
        <f t="shared" si="23"/>
        <v>100556.4</v>
      </c>
      <c r="K43" s="222">
        <f t="shared" si="23"/>
        <v>136493.8</v>
      </c>
      <c r="L43" s="222">
        <f t="shared" si="23"/>
        <v>182510.26032</v>
      </c>
      <c r="M43" s="222">
        <f t="shared" si="23"/>
        <v>178723.03447999997</v>
      </c>
      <c r="N43" s="222">
        <f t="shared" si="23"/>
        <v>181494.6265</v>
      </c>
      <c r="O43" s="222">
        <f t="shared" si="23"/>
        <v>187476.5</v>
      </c>
      <c r="P43" s="222">
        <f t="shared" si="23"/>
        <v>184007.58496</v>
      </c>
      <c r="Q43" s="222">
        <f t="shared" si="23"/>
        <v>189121.47608</v>
      </c>
      <c r="R43" s="222">
        <f t="shared" si="23"/>
        <v>202388.04462</v>
      </c>
      <c r="S43" s="222">
        <f t="shared" si="23"/>
        <v>192954.63157</v>
      </c>
      <c r="T43" s="222">
        <f t="shared" si="23"/>
        <v>195975.12888</v>
      </c>
      <c r="U43" s="222">
        <f t="shared" si="23"/>
        <v>200634.5</v>
      </c>
      <c r="V43" s="222">
        <f t="shared" si="23"/>
        <v>199580.80933</v>
      </c>
      <c r="W43" s="222">
        <f t="shared" si="23"/>
        <v>201455.63009</v>
      </c>
      <c r="X43" s="222">
        <f t="shared" si="23"/>
        <v>210388.6</v>
      </c>
      <c r="Y43" s="222">
        <f t="shared" si="23"/>
        <v>207511.90000000002</v>
      </c>
      <c r="Z43" s="222">
        <f t="shared" si="23"/>
        <v>209816.59999999998</v>
      </c>
      <c r="AA43" s="222">
        <f t="shared" si="23"/>
        <v>222624.19999999998</v>
      </c>
      <c r="AB43" s="222">
        <f t="shared" si="23"/>
        <v>223952.8</v>
      </c>
      <c r="AC43" s="222">
        <f t="shared" si="23"/>
        <v>224749.2</v>
      </c>
      <c r="AD43" s="222">
        <f t="shared" si="23"/>
        <v>219100.9</v>
      </c>
      <c r="AE43" s="222">
        <f t="shared" si="23"/>
        <v>223454.59999999998</v>
      </c>
      <c r="AF43" s="222">
        <f t="shared" si="23"/>
        <v>218464.40000000002</v>
      </c>
      <c r="AG43" s="222">
        <f t="shared" si="23"/>
        <v>222804.5</v>
      </c>
      <c r="AH43" s="222">
        <f t="shared" si="23"/>
        <v>225335.58604000002</v>
      </c>
      <c r="AI43" s="222">
        <f t="shared" si="23"/>
        <v>227302</v>
      </c>
      <c r="AJ43" s="222">
        <f t="shared" si="23"/>
        <v>226841.90000000002</v>
      </c>
      <c r="AK43" s="222">
        <f t="shared" si="23"/>
        <v>226822.34</v>
      </c>
      <c r="AL43" s="222">
        <f t="shared" si="23"/>
        <v>235942.1</v>
      </c>
      <c r="AM43" s="222">
        <f t="shared" si="23"/>
        <v>238452.7</v>
      </c>
      <c r="AN43" s="222">
        <f t="shared" si="23"/>
        <v>238986.59999999998</v>
      </c>
      <c r="AO43" s="222">
        <f t="shared" si="23"/>
        <v>235516.1</v>
      </c>
      <c r="AP43" s="222">
        <f t="shared" si="23"/>
        <v>239716.80000000002</v>
      </c>
      <c r="AQ43" s="222">
        <f t="shared" si="23"/>
        <v>237881.7</v>
      </c>
      <c r="AR43" s="222">
        <f t="shared" si="23"/>
        <v>238895.5</v>
      </c>
      <c r="AS43" s="222">
        <f t="shared" si="23"/>
        <v>246545.91</v>
      </c>
      <c r="AT43" s="222">
        <f t="shared" si="23"/>
        <v>251459.30000000002</v>
      </c>
      <c r="AU43" s="222">
        <v>246739.2</v>
      </c>
      <c r="AV43" s="222">
        <f aca="true" t="shared" si="24" ref="AV43:CM43">SUM(AV44:AV45)</f>
        <v>252179.80000000002</v>
      </c>
      <c r="AW43" s="222">
        <f t="shared" si="24"/>
        <v>255987.19999999998</v>
      </c>
      <c r="AX43" s="222">
        <f t="shared" si="24"/>
        <v>259457.69999999998</v>
      </c>
      <c r="AY43" s="222">
        <f t="shared" si="24"/>
        <v>254545.9</v>
      </c>
      <c r="AZ43" s="222">
        <f t="shared" si="24"/>
        <v>261542.09999999998</v>
      </c>
      <c r="BA43" s="222">
        <f t="shared" si="24"/>
        <v>255580.2</v>
      </c>
      <c r="BB43" s="222">
        <f t="shared" si="24"/>
        <v>257060.7</v>
      </c>
      <c r="BC43" s="222">
        <f t="shared" si="24"/>
        <v>255083.90000000002</v>
      </c>
      <c r="BD43" s="222">
        <f t="shared" si="24"/>
        <v>255443.6</v>
      </c>
      <c r="BE43" s="222">
        <f t="shared" si="24"/>
        <v>253959.2</v>
      </c>
      <c r="BF43" s="222">
        <f t="shared" si="24"/>
        <v>261718.59999999998</v>
      </c>
      <c r="BG43" s="222">
        <f t="shared" si="24"/>
        <v>265653.6</v>
      </c>
      <c r="BH43" s="222">
        <f t="shared" si="24"/>
        <v>280763.8</v>
      </c>
      <c r="BI43" s="222">
        <f t="shared" si="24"/>
        <v>268239.7</v>
      </c>
      <c r="BJ43" s="222">
        <f t="shared" si="24"/>
        <v>272404.3</v>
      </c>
      <c r="BK43" s="222">
        <f t="shared" si="24"/>
        <v>268935.10000000003</v>
      </c>
      <c r="BL43" s="222">
        <f t="shared" si="24"/>
        <v>265250.9</v>
      </c>
      <c r="BM43" s="222">
        <f t="shared" si="24"/>
        <v>266229.1</v>
      </c>
      <c r="BN43" s="222">
        <f t="shared" si="24"/>
        <v>273834.7</v>
      </c>
      <c r="BO43" s="222">
        <f t="shared" si="24"/>
        <v>268640.8</v>
      </c>
      <c r="BP43" s="222">
        <f t="shared" si="24"/>
        <v>270339.9</v>
      </c>
      <c r="BQ43" s="222">
        <f t="shared" si="24"/>
        <v>272131.4</v>
      </c>
      <c r="BR43" s="222">
        <f t="shared" si="24"/>
        <v>277077.8</v>
      </c>
      <c r="BS43" s="222">
        <f t="shared" si="24"/>
        <v>281841</v>
      </c>
      <c r="BT43" s="222">
        <f t="shared" si="24"/>
        <v>299142.6</v>
      </c>
      <c r="BU43" s="222">
        <f t="shared" si="24"/>
        <v>290246.1</v>
      </c>
      <c r="BV43" s="222">
        <f t="shared" si="24"/>
        <v>294597.6</v>
      </c>
      <c r="BW43" s="222">
        <f t="shared" si="24"/>
        <v>293582.4</v>
      </c>
      <c r="BX43" s="222">
        <f t="shared" si="24"/>
        <v>297926.2</v>
      </c>
      <c r="BY43" s="222">
        <f t="shared" si="24"/>
        <v>306275.5</v>
      </c>
      <c r="BZ43" s="222">
        <f t="shared" si="24"/>
        <v>302421.1</v>
      </c>
      <c r="CA43" s="222">
        <f t="shared" si="24"/>
        <v>300994.80000000005</v>
      </c>
      <c r="CB43" s="222">
        <f t="shared" si="24"/>
        <v>296362.8</v>
      </c>
      <c r="CC43" s="222">
        <f t="shared" si="24"/>
        <v>298090.6</v>
      </c>
      <c r="CD43" s="222">
        <f t="shared" si="24"/>
        <v>303627.5</v>
      </c>
      <c r="CE43" s="222">
        <f t="shared" si="24"/>
        <v>309343.8</v>
      </c>
      <c r="CF43" s="222">
        <f t="shared" si="24"/>
        <v>323482.05</v>
      </c>
      <c r="CG43" s="222">
        <f t="shared" si="24"/>
        <v>317877.3</v>
      </c>
      <c r="CH43" s="222">
        <f t="shared" si="24"/>
        <v>322256.7</v>
      </c>
      <c r="CI43" s="222">
        <f t="shared" si="24"/>
        <v>326781</v>
      </c>
      <c r="CJ43" s="222">
        <f t="shared" si="24"/>
        <v>326123.80000000005</v>
      </c>
      <c r="CK43" s="222">
        <f t="shared" si="24"/>
        <v>337023.19999999995</v>
      </c>
      <c r="CL43" s="222">
        <f t="shared" si="24"/>
        <v>336593.4</v>
      </c>
      <c r="CM43" s="222">
        <f t="shared" si="24"/>
        <v>330993.9</v>
      </c>
      <c r="CN43" s="222">
        <f>SUM(CN44:CN45)</f>
        <v>333090.5</v>
      </c>
      <c r="CO43" s="222">
        <f>SUM(CO44:CO45)</f>
        <v>328871.19999999995</v>
      </c>
      <c r="CP43" s="222">
        <f>SUM(CP44:CP45)</f>
        <v>337195.7</v>
      </c>
      <c r="CQ43" s="222">
        <f>SUM(CQ44:CQ45)</f>
        <v>342564.6</v>
      </c>
      <c r="CR43" s="233">
        <f>SUM(CR44:CR45)</f>
        <v>352996.9</v>
      </c>
    </row>
    <row r="44" spans="1:96" ht="16.5" customHeight="1" hidden="1">
      <c r="A44" s="230" t="s">
        <v>41</v>
      </c>
      <c r="B44" s="214">
        <f>5380.06+7370.36-B21-B15+4.6</f>
        <v>8096.42</v>
      </c>
      <c r="C44" s="215">
        <f>10059.5+2701.7</f>
        <v>12761.2</v>
      </c>
      <c r="D44" s="213">
        <f>13802.08+11561.21-D21-D15</f>
        <v>17195.69</v>
      </c>
      <c r="E44" s="213">
        <f>18506.35+11403.17-E21-E15</f>
        <v>21969.92</v>
      </c>
      <c r="F44" s="213">
        <f>17833.4+14389-F21-F15</f>
        <v>22565.300000000003</v>
      </c>
      <c r="G44" s="213">
        <f>15947.06+15942.9-G21-G15+243</f>
        <v>22749.36</v>
      </c>
      <c r="H44" s="213">
        <f>14938.7+25320.8-H21-H15+2.2</f>
        <v>19336.5</v>
      </c>
      <c r="I44" s="213">
        <v>22056.6</v>
      </c>
      <c r="J44" s="218">
        <v>31495.2</v>
      </c>
      <c r="K44" s="218">
        <f>26894.2+31040.2</f>
        <v>57934.4</v>
      </c>
      <c r="L44" s="219">
        <v>95049.07248</v>
      </c>
      <c r="M44" s="219">
        <v>95853.28291</v>
      </c>
      <c r="N44" s="219">
        <v>99885.7795</v>
      </c>
      <c r="O44" s="219">
        <v>103466.7</v>
      </c>
      <c r="P44" s="219">
        <v>100377.5644</v>
      </c>
      <c r="Q44" s="220">
        <v>101191.82568</v>
      </c>
      <c r="R44" s="219">
        <v>116743.93268</v>
      </c>
      <c r="S44" s="220">
        <v>110207.91632</v>
      </c>
      <c r="T44" s="219">
        <v>111044.04876</v>
      </c>
      <c r="U44" s="219">
        <v>114225.5</v>
      </c>
      <c r="V44" s="220">
        <v>111588.78669</v>
      </c>
      <c r="W44" s="219">
        <v>113551.16773</v>
      </c>
      <c r="X44" s="219">
        <v>115406.3</v>
      </c>
      <c r="Y44" s="219">
        <v>114447.1</v>
      </c>
      <c r="Z44" s="219">
        <v>118945.9</v>
      </c>
      <c r="AA44" s="219">
        <v>132333.3</v>
      </c>
      <c r="AB44" s="219">
        <v>136749.8</v>
      </c>
      <c r="AC44" s="219">
        <v>139079.6</v>
      </c>
      <c r="AD44" s="219">
        <v>139468.8</v>
      </c>
      <c r="AE44" s="219">
        <v>143289.15</v>
      </c>
      <c r="AF44" s="219">
        <v>140523.1</v>
      </c>
      <c r="AG44" s="219">
        <v>145519.7</v>
      </c>
      <c r="AH44" s="219">
        <v>143913.36162</v>
      </c>
      <c r="AI44" s="219">
        <v>150647.6</v>
      </c>
      <c r="AJ44" s="219">
        <v>154559.85</v>
      </c>
      <c r="AK44" s="219">
        <v>163262.34</v>
      </c>
      <c r="AL44" s="219">
        <v>171420.1</v>
      </c>
      <c r="AM44" s="219">
        <v>171972.9</v>
      </c>
      <c r="AN44" s="219">
        <v>174603.8</v>
      </c>
      <c r="AO44" s="219">
        <v>177703</v>
      </c>
      <c r="AP44" s="219">
        <v>181277.2</v>
      </c>
      <c r="AQ44" s="219">
        <v>179100.6</v>
      </c>
      <c r="AR44" s="219">
        <v>180442.6</v>
      </c>
      <c r="AS44" s="219">
        <v>189578.35</v>
      </c>
      <c r="AT44" s="219">
        <v>192763.7</v>
      </c>
      <c r="AU44" s="219">
        <v>191036.55</v>
      </c>
      <c r="AV44" s="219">
        <v>193674.7</v>
      </c>
      <c r="AW44" s="219">
        <v>205048.3</v>
      </c>
      <c r="AX44" s="219">
        <v>206772.8</v>
      </c>
      <c r="AY44" s="219">
        <v>204174.5</v>
      </c>
      <c r="AZ44" s="219">
        <v>206778.9</v>
      </c>
      <c r="BA44" s="219">
        <v>202222</v>
      </c>
      <c r="BB44" s="219">
        <v>205090.6</v>
      </c>
      <c r="BC44" s="219">
        <v>203968.2</v>
      </c>
      <c r="BD44" s="219">
        <v>205420.5</v>
      </c>
      <c r="BE44" s="219">
        <v>207048.2</v>
      </c>
      <c r="BF44" s="219">
        <v>210137.4</v>
      </c>
      <c r="BG44" s="219">
        <v>212529.4</v>
      </c>
      <c r="BH44" s="219">
        <v>216343.8</v>
      </c>
      <c r="BI44" s="219">
        <v>212318.55</v>
      </c>
      <c r="BJ44" s="219">
        <v>215326.9</v>
      </c>
      <c r="BK44" s="219">
        <v>211607.7</v>
      </c>
      <c r="BL44" s="219">
        <v>205350.7</v>
      </c>
      <c r="BM44" s="219">
        <v>207496.9</v>
      </c>
      <c r="BN44" s="219">
        <v>212213.3</v>
      </c>
      <c r="BO44" s="219">
        <v>208764.9</v>
      </c>
      <c r="BP44" s="219">
        <v>210619.9</v>
      </c>
      <c r="BQ44" s="219">
        <v>212583.7</v>
      </c>
      <c r="BR44" s="219">
        <v>217068</v>
      </c>
      <c r="BS44" s="219">
        <v>220887.3</v>
      </c>
      <c r="BT44" s="219">
        <v>229871</v>
      </c>
      <c r="BU44" s="219">
        <v>221501.1</v>
      </c>
      <c r="BV44" s="219">
        <v>223784.1</v>
      </c>
      <c r="BW44" s="219">
        <v>226983.5</v>
      </c>
      <c r="BX44" s="219">
        <v>229911.1</v>
      </c>
      <c r="BY44" s="219">
        <v>231519</v>
      </c>
      <c r="BZ44" s="219">
        <v>227706.6</v>
      </c>
      <c r="CA44" s="219">
        <v>228142.7</v>
      </c>
      <c r="CB44" s="219">
        <v>224931.3</v>
      </c>
      <c r="CC44" s="219">
        <v>227548.9</v>
      </c>
      <c r="CD44" s="219">
        <v>236747</v>
      </c>
      <c r="CE44" s="219">
        <v>238954.8</v>
      </c>
      <c r="CF44" s="219">
        <v>240873.5</v>
      </c>
      <c r="CG44" s="219">
        <v>241766.5</v>
      </c>
      <c r="CH44" s="219">
        <v>244113.2</v>
      </c>
      <c r="CI44" s="219">
        <v>247748.6</v>
      </c>
      <c r="CJ44" s="219">
        <v>250055.2</v>
      </c>
      <c r="CK44" s="219">
        <v>261700.8</v>
      </c>
      <c r="CL44" s="219">
        <v>257104.8</v>
      </c>
      <c r="CM44" s="219">
        <v>252342.9</v>
      </c>
      <c r="CN44" s="219">
        <v>255742.4</v>
      </c>
      <c r="CO44" s="219">
        <v>253521.8</v>
      </c>
      <c r="CP44" s="219">
        <v>258296</v>
      </c>
      <c r="CQ44" s="219">
        <v>260260.5</v>
      </c>
      <c r="CR44" s="231">
        <v>261533.4</v>
      </c>
    </row>
    <row r="45" spans="1:96" ht="16.5" customHeight="1" hidden="1" thickBot="1">
      <c r="A45" s="230" t="s">
        <v>42</v>
      </c>
      <c r="B45" s="214">
        <f>12448.1+82.38+B15+B21</f>
        <v>17189.08</v>
      </c>
      <c r="C45" s="215">
        <f>14531.5+6483.7</f>
        <v>21015.2</v>
      </c>
      <c r="D45" s="213">
        <f>18371+59.49+D21+D15</f>
        <v>26598.090000000004</v>
      </c>
      <c r="E45" s="213">
        <f>21120.4+106.9+E21+E15</f>
        <v>29166.9</v>
      </c>
      <c r="F45" s="213">
        <f>22757.83614+167.08+F21+F15</f>
        <v>32582.01614</v>
      </c>
      <c r="G45" s="213">
        <f>24063.7+185.1+G21+G15</f>
        <v>33632.4</v>
      </c>
      <c r="H45" s="213">
        <f>19100.52+506.3+H21+H15</f>
        <v>40532.020000000004</v>
      </c>
      <c r="I45" s="213">
        <v>54093</v>
      </c>
      <c r="J45" s="218">
        <v>69061.2</v>
      </c>
      <c r="K45" s="218">
        <v>78559.4</v>
      </c>
      <c r="L45" s="219">
        <v>87461.18784</v>
      </c>
      <c r="M45" s="219">
        <v>82869.75157</v>
      </c>
      <c r="N45" s="219">
        <v>81608.847</v>
      </c>
      <c r="O45" s="219">
        <v>84009.8</v>
      </c>
      <c r="P45" s="219">
        <v>83630.02056</v>
      </c>
      <c r="Q45" s="220">
        <v>87929.6504</v>
      </c>
      <c r="R45" s="219">
        <v>85644.11194</v>
      </c>
      <c r="S45" s="220">
        <v>82746.71525</v>
      </c>
      <c r="T45" s="219">
        <v>84931.08012</v>
      </c>
      <c r="U45" s="219">
        <v>86409</v>
      </c>
      <c r="V45" s="220">
        <v>87992.02264</v>
      </c>
      <c r="W45" s="219">
        <v>87904.46236</v>
      </c>
      <c r="X45" s="219">
        <v>94982.3</v>
      </c>
      <c r="Y45" s="219">
        <v>93064.8</v>
      </c>
      <c r="Z45" s="219">
        <v>90870.7</v>
      </c>
      <c r="AA45" s="219">
        <v>90290.9</v>
      </c>
      <c r="AB45" s="219">
        <v>87203</v>
      </c>
      <c r="AC45" s="219">
        <v>85669.6</v>
      </c>
      <c r="AD45" s="219">
        <v>79632.1</v>
      </c>
      <c r="AE45" s="219">
        <v>80165.45</v>
      </c>
      <c r="AF45" s="219">
        <v>77941.3</v>
      </c>
      <c r="AG45" s="219">
        <v>77284.8</v>
      </c>
      <c r="AH45" s="219">
        <v>81422.22442</v>
      </c>
      <c r="AI45" s="219">
        <v>76654.4</v>
      </c>
      <c r="AJ45" s="219">
        <v>72282.05</v>
      </c>
      <c r="AK45" s="219">
        <v>63560</v>
      </c>
      <c r="AL45" s="219">
        <v>64522</v>
      </c>
      <c r="AM45" s="219">
        <v>66479.8</v>
      </c>
      <c r="AN45" s="219">
        <v>64382.8</v>
      </c>
      <c r="AO45" s="219">
        <v>57813.1</v>
      </c>
      <c r="AP45" s="219">
        <v>58439.6</v>
      </c>
      <c r="AQ45" s="219">
        <v>58781.1</v>
      </c>
      <c r="AR45" s="219">
        <v>58452.9</v>
      </c>
      <c r="AS45" s="219">
        <v>56967.56</v>
      </c>
      <c r="AT45" s="219">
        <v>58695.6</v>
      </c>
      <c r="AU45" s="219">
        <v>55702.65</v>
      </c>
      <c r="AV45" s="219">
        <v>58505.1</v>
      </c>
      <c r="AW45" s="219">
        <v>50938.9</v>
      </c>
      <c r="AX45" s="219">
        <v>52684.9</v>
      </c>
      <c r="AY45" s="219">
        <v>50371.4</v>
      </c>
      <c r="AZ45" s="219">
        <v>54763.2</v>
      </c>
      <c r="BA45" s="219">
        <v>53358.2</v>
      </c>
      <c r="BB45" s="219">
        <v>51970.1</v>
      </c>
      <c r="BC45" s="219">
        <v>51115.7</v>
      </c>
      <c r="BD45" s="219">
        <v>50023.1</v>
      </c>
      <c r="BE45" s="219">
        <v>46911</v>
      </c>
      <c r="BF45" s="219">
        <v>51581.2</v>
      </c>
      <c r="BG45" s="219">
        <v>53124.2</v>
      </c>
      <c r="BH45" s="219">
        <v>64420</v>
      </c>
      <c r="BI45" s="219">
        <v>55921.15</v>
      </c>
      <c r="BJ45" s="219">
        <v>57077.4</v>
      </c>
      <c r="BK45" s="219">
        <v>57327.4</v>
      </c>
      <c r="BL45" s="219">
        <v>59900.2</v>
      </c>
      <c r="BM45" s="219">
        <v>58732.2</v>
      </c>
      <c r="BN45" s="219">
        <v>61621.4</v>
      </c>
      <c r="BO45" s="219">
        <v>59875.9</v>
      </c>
      <c r="BP45" s="219">
        <v>59720</v>
      </c>
      <c r="BQ45" s="219">
        <v>59547.7</v>
      </c>
      <c r="BR45" s="219">
        <v>60009.8</v>
      </c>
      <c r="BS45" s="219">
        <v>60953.7</v>
      </c>
      <c r="BT45" s="219">
        <v>69271.6</v>
      </c>
      <c r="BU45" s="219">
        <v>68745</v>
      </c>
      <c r="BV45" s="219">
        <v>70813.5</v>
      </c>
      <c r="BW45" s="219">
        <v>66598.9</v>
      </c>
      <c r="BX45" s="219">
        <v>68015.1</v>
      </c>
      <c r="BY45" s="219">
        <v>74756.5</v>
      </c>
      <c r="BZ45" s="219">
        <v>74714.5</v>
      </c>
      <c r="CA45" s="219">
        <v>72852.1</v>
      </c>
      <c r="CB45" s="219">
        <v>71431.5</v>
      </c>
      <c r="CC45" s="219">
        <v>70541.7</v>
      </c>
      <c r="CD45" s="219">
        <v>66880.5</v>
      </c>
      <c r="CE45" s="219">
        <v>70389</v>
      </c>
      <c r="CF45" s="219">
        <v>82608.55</v>
      </c>
      <c r="CG45" s="219">
        <v>76110.8</v>
      </c>
      <c r="CH45" s="219">
        <v>78143.5</v>
      </c>
      <c r="CI45" s="219">
        <v>79032.4</v>
      </c>
      <c r="CJ45" s="219">
        <v>76068.6</v>
      </c>
      <c r="CK45" s="219">
        <v>75322.4</v>
      </c>
      <c r="CL45" s="219">
        <v>79488.6</v>
      </c>
      <c r="CM45" s="219">
        <v>78651</v>
      </c>
      <c r="CN45" s="219">
        <v>77348.1</v>
      </c>
      <c r="CO45" s="219">
        <v>75349.4</v>
      </c>
      <c r="CP45" s="219">
        <v>78899.7</v>
      </c>
      <c r="CQ45" s="219">
        <v>82304.1</v>
      </c>
      <c r="CR45" s="231">
        <v>91463.5</v>
      </c>
    </row>
    <row r="46" spans="1:96" ht="16.5" customHeight="1">
      <c r="A46" s="234" t="s">
        <v>62</v>
      </c>
      <c r="B46" s="235"/>
      <c r="C46" s="236"/>
      <c r="D46" s="237"/>
      <c r="E46" s="237"/>
      <c r="F46" s="237"/>
      <c r="G46" s="237"/>
      <c r="H46" s="237"/>
      <c r="I46" s="237"/>
      <c r="J46" s="238">
        <f>J21/J5</f>
        <v>0.39375614083240845</v>
      </c>
      <c r="K46" s="238">
        <f aca="true" t="shared" si="25" ref="K46:BV46">K21/K5</f>
        <v>0.20612218283907405</v>
      </c>
      <c r="L46" s="238">
        <f t="shared" si="25"/>
        <v>0.17224616912031815</v>
      </c>
      <c r="M46" s="238">
        <f t="shared" si="25"/>
        <v>0.14550841245950438</v>
      </c>
      <c r="N46" s="238">
        <f t="shared" si="25"/>
        <v>0.14792394682406462</v>
      </c>
      <c r="O46" s="238">
        <f t="shared" si="25"/>
        <v>0.16201175023574818</v>
      </c>
      <c r="P46" s="238">
        <f t="shared" si="25"/>
        <v>0.14104472924657854</v>
      </c>
      <c r="Q46" s="238">
        <f t="shared" si="25"/>
        <v>0.13493020744616854</v>
      </c>
      <c r="R46" s="238">
        <f t="shared" si="25"/>
        <v>0.1506266343806924</v>
      </c>
      <c r="S46" s="238">
        <f t="shared" si="25"/>
        <v>0.1336143102149222</v>
      </c>
      <c r="T46" s="238">
        <f t="shared" si="25"/>
        <v>0.14788458191419868</v>
      </c>
      <c r="U46" s="238">
        <f t="shared" si="25"/>
        <v>0.14666571101774417</v>
      </c>
      <c r="V46" s="238">
        <f t="shared" si="25"/>
        <v>0.15682469724956297</v>
      </c>
      <c r="W46" s="238">
        <f t="shared" si="25"/>
        <v>0.15146874397302665</v>
      </c>
      <c r="X46" s="238">
        <f t="shared" si="25"/>
        <v>0.15136323926296386</v>
      </c>
      <c r="Y46" s="238">
        <f t="shared" si="25"/>
        <v>0.12283681080458518</v>
      </c>
      <c r="Z46" s="238">
        <f t="shared" si="25"/>
        <v>0.11727128921092568</v>
      </c>
      <c r="AA46" s="238">
        <f t="shared" si="25"/>
        <v>0.10477032810014729</v>
      </c>
      <c r="AB46" s="238">
        <f t="shared" si="25"/>
        <v>0.10460333811559315</v>
      </c>
      <c r="AC46" s="238">
        <f t="shared" si="25"/>
        <v>0.108163677557028</v>
      </c>
      <c r="AD46" s="238">
        <f t="shared" si="25"/>
        <v>0.09328259263197915</v>
      </c>
      <c r="AE46" s="238">
        <f t="shared" si="25"/>
        <v>0.10984423681589012</v>
      </c>
      <c r="AF46" s="238">
        <f t="shared" si="25"/>
        <v>0.11079333749572014</v>
      </c>
      <c r="AG46" s="238">
        <f t="shared" si="25"/>
        <v>0.09836381222102786</v>
      </c>
      <c r="AH46" s="238">
        <f t="shared" si="25"/>
        <v>0.10772199332906118</v>
      </c>
      <c r="AI46" s="238">
        <f t="shared" si="25"/>
        <v>0.09144398201511646</v>
      </c>
      <c r="AJ46" s="238">
        <f t="shared" si="25"/>
        <v>0.07126373037785348</v>
      </c>
      <c r="AK46" s="238">
        <f t="shared" si="25"/>
        <v>0.0482404066972251</v>
      </c>
      <c r="AL46" s="238">
        <f t="shared" si="25"/>
        <v>0.06056146825852614</v>
      </c>
      <c r="AM46" s="238">
        <f t="shared" si="25"/>
        <v>0.07688527874315687</v>
      </c>
      <c r="AN46" s="238">
        <f t="shared" si="25"/>
        <v>0.0822309702719734</v>
      </c>
      <c r="AO46" s="238">
        <f t="shared" si="25"/>
        <v>0.062070491146889756</v>
      </c>
      <c r="AP46" s="238">
        <f t="shared" si="25"/>
        <v>0.06451863198574317</v>
      </c>
      <c r="AQ46" s="238">
        <f t="shared" si="25"/>
        <v>0.06907467030881316</v>
      </c>
      <c r="AR46" s="238">
        <f t="shared" si="25"/>
        <v>0.06862163581984593</v>
      </c>
      <c r="AS46" s="238">
        <f t="shared" si="25"/>
        <v>0.06794637428568069</v>
      </c>
      <c r="AT46" s="238">
        <f t="shared" si="25"/>
        <v>0.0696864263918654</v>
      </c>
      <c r="AU46" s="238">
        <f t="shared" si="25"/>
        <v>0.06779628044510154</v>
      </c>
      <c r="AV46" s="238">
        <f t="shared" si="25"/>
        <v>0.07596088187872303</v>
      </c>
      <c r="AW46" s="238">
        <f t="shared" si="25"/>
        <v>0.04871923283664183</v>
      </c>
      <c r="AX46" s="238">
        <f t="shared" si="25"/>
        <v>0.05940004863991317</v>
      </c>
      <c r="AY46" s="238">
        <f t="shared" si="25"/>
        <v>0.054906796770248505</v>
      </c>
      <c r="AZ46" s="238">
        <f t="shared" si="25"/>
        <v>0.06533594400289666</v>
      </c>
      <c r="BA46" s="238">
        <f t="shared" si="25"/>
        <v>0.06281824648388255</v>
      </c>
      <c r="BB46" s="238">
        <f t="shared" si="25"/>
        <v>0.05509010128736131</v>
      </c>
      <c r="BC46" s="238">
        <f t="shared" si="25"/>
        <v>0.05166125234757051</v>
      </c>
      <c r="BD46" s="238">
        <f t="shared" si="25"/>
        <v>0.046437648075739614</v>
      </c>
      <c r="BE46" s="238">
        <f t="shared" si="25"/>
        <v>0.0340381447098589</v>
      </c>
      <c r="BF46" s="238">
        <f t="shared" si="25"/>
        <v>0.048014164831998954</v>
      </c>
      <c r="BG46" s="238">
        <f t="shared" si="25"/>
        <v>0.05244367100615237</v>
      </c>
      <c r="BH46" s="238">
        <f t="shared" si="25"/>
        <v>0.08875645649474755</v>
      </c>
      <c r="BI46" s="238">
        <f t="shared" si="25"/>
        <v>0.06066104308944575</v>
      </c>
      <c r="BJ46" s="238">
        <f t="shared" si="25"/>
        <v>0.06002805388901717</v>
      </c>
      <c r="BK46" s="238">
        <f t="shared" si="25"/>
        <v>0.06338034715438781</v>
      </c>
      <c r="BL46" s="238">
        <f t="shared" si="25"/>
        <v>0.070421627221623</v>
      </c>
      <c r="BM46" s="238">
        <f t="shared" si="25"/>
        <v>0.06846809758963239</v>
      </c>
      <c r="BN46" s="238">
        <f t="shared" si="25"/>
        <v>0.08185522141642385</v>
      </c>
      <c r="BO46" s="238">
        <f t="shared" si="25"/>
        <v>0.07977083153415268</v>
      </c>
      <c r="BP46" s="238">
        <f t="shared" si="25"/>
        <v>0.07855407211440116</v>
      </c>
      <c r="BQ46" s="238">
        <f t="shared" si="25"/>
        <v>0.07922679999441445</v>
      </c>
      <c r="BR46" s="238">
        <f t="shared" si="25"/>
        <v>0.07334366015610057</v>
      </c>
      <c r="BS46" s="238">
        <f t="shared" si="25"/>
        <v>0.07637178409103006</v>
      </c>
      <c r="BT46" s="238">
        <f t="shared" si="25"/>
        <v>0.11873668277269771</v>
      </c>
      <c r="BU46" s="238">
        <f t="shared" si="25"/>
        <v>0.09914310648790803</v>
      </c>
      <c r="BV46" s="238">
        <f t="shared" si="25"/>
        <v>0.10400289452489374</v>
      </c>
      <c r="BW46" s="238">
        <f aca="true" t="shared" si="26" ref="BW46:CR46">BW21/BW5</f>
        <v>0.09495630528260551</v>
      </c>
      <c r="BX46" s="238">
        <f t="shared" si="26"/>
        <v>0.09419312568011809</v>
      </c>
      <c r="BY46" s="238">
        <f t="shared" si="26"/>
        <v>0.11304789315501894</v>
      </c>
      <c r="BZ46" s="238">
        <f t="shared" si="26"/>
        <v>0.11173724320161522</v>
      </c>
      <c r="CA46" s="238">
        <f t="shared" si="26"/>
        <v>0.10656828622952953</v>
      </c>
      <c r="CB46" s="238">
        <f t="shared" si="26"/>
        <v>0.10169393729577396</v>
      </c>
      <c r="CC46" s="238">
        <f t="shared" si="26"/>
        <v>0.09951404036222543</v>
      </c>
      <c r="CD46" s="238">
        <f t="shared" si="26"/>
        <v>0.08413895315806375</v>
      </c>
      <c r="CE46" s="238">
        <f t="shared" si="26"/>
        <v>0.09474636310797244</v>
      </c>
      <c r="CF46" s="238">
        <f t="shared" si="26"/>
        <v>0.12869738387379087</v>
      </c>
      <c r="CG46" s="238">
        <f t="shared" si="26"/>
        <v>0.11329088299164487</v>
      </c>
      <c r="CH46" s="238">
        <f t="shared" si="26"/>
        <v>0.11698966541173529</v>
      </c>
      <c r="CI46" s="238">
        <f t="shared" si="26"/>
        <v>0.11867489235910288</v>
      </c>
      <c r="CJ46" s="238">
        <f t="shared" si="26"/>
        <v>0.11080301407011693</v>
      </c>
      <c r="CK46" s="238">
        <f t="shared" si="26"/>
        <v>0.10768190439115172</v>
      </c>
      <c r="CL46" s="238">
        <f t="shared" si="26"/>
        <v>0.11696753412277247</v>
      </c>
      <c r="CM46" s="238">
        <f t="shared" si="26"/>
        <v>0.1111549185649645</v>
      </c>
      <c r="CN46" s="238">
        <f t="shared" si="26"/>
        <v>0.10382673777847161</v>
      </c>
      <c r="CO46" s="238">
        <f t="shared" si="26"/>
        <v>0.10077136581129634</v>
      </c>
      <c r="CP46" s="238">
        <f t="shared" si="26"/>
        <v>0.11141630809645556</v>
      </c>
      <c r="CQ46" s="238">
        <f t="shared" si="26"/>
        <v>0.12152423221780652</v>
      </c>
      <c r="CR46" s="239">
        <f t="shared" si="26"/>
        <v>0.14854072331533885</v>
      </c>
    </row>
    <row r="47" spans="1:96" ht="16.5" customHeight="1" thickBot="1">
      <c r="A47" s="240" t="s">
        <v>56</v>
      </c>
      <c r="B47" s="241"/>
      <c r="C47" s="242"/>
      <c r="D47" s="243"/>
      <c r="E47" s="243"/>
      <c r="F47" s="243"/>
      <c r="G47" s="243"/>
      <c r="H47" s="243"/>
      <c r="I47" s="243"/>
      <c r="J47" s="244">
        <f>J21/J64</f>
        <v>0.07550639439789607</v>
      </c>
      <c r="K47" s="244">
        <f aca="true" t="shared" si="27" ref="K47:BV47">K21/K64</f>
        <v>0.05510899807021352</v>
      </c>
      <c r="L47" s="244">
        <f t="shared" si="27"/>
        <v>0.05888334666339503</v>
      </c>
      <c r="M47" s="244">
        <f t="shared" si="27"/>
        <v>0.04618309358906056</v>
      </c>
      <c r="N47" s="244">
        <f t="shared" si="27"/>
        <v>0.047677854732729535</v>
      </c>
      <c r="O47" s="244">
        <f t="shared" si="27"/>
        <v>0.053939612857396554</v>
      </c>
      <c r="P47" s="244">
        <f t="shared" si="27"/>
        <v>0.04609003729355354</v>
      </c>
      <c r="Q47" s="244">
        <f t="shared" si="27"/>
        <v>0.045317350381814954</v>
      </c>
      <c r="R47" s="244">
        <f t="shared" si="27"/>
        <v>0.05413786183626354</v>
      </c>
      <c r="S47" s="244">
        <f t="shared" si="27"/>
        <v>0.04578494050790268</v>
      </c>
      <c r="T47" s="244">
        <f t="shared" si="27"/>
        <v>0.05146812289113834</v>
      </c>
      <c r="U47" s="244">
        <f t="shared" si="27"/>
        <v>0.05225750310779613</v>
      </c>
      <c r="V47" s="244">
        <f t="shared" si="27"/>
        <v>0.05558373290712129</v>
      </c>
      <c r="W47" s="244">
        <f t="shared" si="27"/>
        <v>0.05445871070857752</v>
      </c>
      <c r="X47" s="244">
        <f t="shared" si="27"/>
        <v>0.056353334029379025</v>
      </c>
      <c r="Y47" s="244">
        <f t="shared" si="27"/>
        <v>0.043557928913192066</v>
      </c>
      <c r="Z47" s="244">
        <f t="shared" si="27"/>
        <v>0.04364217361585783</v>
      </c>
      <c r="AA47" s="244">
        <f t="shared" si="27"/>
        <v>0.03985714285714286</v>
      </c>
      <c r="AB47" s="244">
        <f t="shared" si="27"/>
        <v>0.0400311004784689</v>
      </c>
      <c r="AC47" s="244">
        <f t="shared" si="27"/>
        <v>0.04154084073820916</v>
      </c>
      <c r="AD47" s="244">
        <f t="shared" si="27"/>
        <v>0.03492532467532467</v>
      </c>
      <c r="AE47" s="244">
        <f t="shared" si="27"/>
        <v>0.041943267259056734</v>
      </c>
      <c r="AF47" s="244">
        <f t="shared" si="27"/>
        <v>0.0413609022556391</v>
      </c>
      <c r="AG47" s="244">
        <f t="shared" si="27"/>
        <v>0.03745027341079973</v>
      </c>
      <c r="AH47" s="244">
        <f t="shared" si="27"/>
        <v>0.041479152426520845</v>
      </c>
      <c r="AI47" s="244">
        <f t="shared" si="27"/>
        <v>0.035518455228981546</v>
      </c>
      <c r="AJ47" s="244">
        <f t="shared" si="27"/>
        <v>0.027152327891871737</v>
      </c>
      <c r="AK47" s="244">
        <f t="shared" si="27"/>
        <v>0.017554949462538105</v>
      </c>
      <c r="AL47" s="244">
        <f t="shared" si="27"/>
        <v>0.022924755334509866</v>
      </c>
      <c r="AM47" s="244">
        <f t="shared" si="27"/>
        <v>0.029413605005615275</v>
      </c>
      <c r="AN47" s="244">
        <f t="shared" si="27"/>
        <v>0.03152911920423552</v>
      </c>
      <c r="AO47" s="244">
        <f t="shared" si="27"/>
        <v>0.023453553665971443</v>
      </c>
      <c r="AP47" s="244">
        <f t="shared" si="27"/>
        <v>0.02469849888214628</v>
      </c>
      <c r="AQ47" s="244">
        <f t="shared" si="27"/>
        <v>0.026240178856595336</v>
      </c>
      <c r="AR47" s="244">
        <f t="shared" si="27"/>
        <v>0.026179175982114344</v>
      </c>
      <c r="AS47" s="244">
        <f t="shared" si="27"/>
        <v>0.026777333759590797</v>
      </c>
      <c r="AT47" s="244">
        <f t="shared" si="27"/>
        <v>0.028010390025575448</v>
      </c>
      <c r="AU47" s="244">
        <f t="shared" si="27"/>
        <v>0.02673913043478261</v>
      </c>
      <c r="AV47" s="244">
        <f t="shared" si="27"/>
        <v>0.030050387791471095</v>
      </c>
      <c r="AW47" s="244">
        <f t="shared" si="27"/>
        <v>0.018627824681124623</v>
      </c>
      <c r="AX47" s="244">
        <f t="shared" si="27"/>
        <v>0.023019549245925225</v>
      </c>
      <c r="AY47" s="244">
        <f t="shared" si="27"/>
        <v>0.020875441293413146</v>
      </c>
      <c r="AZ47" s="244">
        <f t="shared" si="27"/>
        <v>0.02552332365261</v>
      </c>
      <c r="BA47" s="244">
        <f t="shared" si="27"/>
        <v>0.02398040236041566</v>
      </c>
      <c r="BB47" s="244">
        <f t="shared" si="27"/>
        <v>0.021152061838732014</v>
      </c>
      <c r="BC47" s="244">
        <f t="shared" si="27"/>
        <v>0.019682925940375427</v>
      </c>
      <c r="BD47" s="244">
        <f t="shared" si="27"/>
        <v>0.017717755036077178</v>
      </c>
      <c r="BE47" s="244">
        <f t="shared" si="27"/>
        <v>0.012911398379589108</v>
      </c>
      <c r="BF47" s="244">
        <f t="shared" si="27"/>
        <v>0.01876927157983789</v>
      </c>
      <c r="BG47" s="244">
        <f t="shared" si="27"/>
        <v>0.02080904937527371</v>
      </c>
      <c r="BH47" s="244">
        <f t="shared" si="27"/>
        <v>0.037296750401111134</v>
      </c>
      <c r="BI47" s="244">
        <f t="shared" si="27"/>
        <v>0.022909285048740857</v>
      </c>
      <c r="BJ47" s="244">
        <f t="shared" si="27"/>
        <v>0.023022200396301897</v>
      </c>
      <c r="BK47" s="244">
        <f t="shared" si="27"/>
        <v>0.02399831274622797</v>
      </c>
      <c r="BL47" s="244">
        <f t="shared" si="27"/>
        <v>0.02629913894303914</v>
      </c>
      <c r="BM47" s="244">
        <f t="shared" si="27"/>
        <v>0.025663884518855318</v>
      </c>
      <c r="BN47" s="244">
        <f t="shared" si="27"/>
        <v>0.03155829092906804</v>
      </c>
      <c r="BO47" s="244">
        <f t="shared" si="27"/>
        <v>0.030171346928040826</v>
      </c>
      <c r="BP47" s="244">
        <f t="shared" si="27"/>
        <v>0.02989905480561806</v>
      </c>
      <c r="BQ47" s="244">
        <f t="shared" si="27"/>
        <v>0.030354939961980472</v>
      </c>
      <c r="BR47" s="244">
        <f t="shared" si="27"/>
        <v>0.028611650892777448</v>
      </c>
      <c r="BS47" s="244">
        <f t="shared" si="27"/>
        <v>0.0303050995217852</v>
      </c>
      <c r="BT47" s="244">
        <f t="shared" si="27"/>
        <v>0.04984038649620646</v>
      </c>
      <c r="BU47" s="244">
        <f t="shared" si="27"/>
        <v>0.03790153627145897</v>
      </c>
      <c r="BV47" s="244">
        <f t="shared" si="27"/>
        <v>0.040355476972787345</v>
      </c>
      <c r="BW47" s="244">
        <f aca="true" t="shared" si="28" ref="BW47:CR47">BW21/BW64</f>
        <v>0.036718228705534754</v>
      </c>
      <c r="BX47" s="244">
        <f t="shared" si="28"/>
        <v>0.036962029051096384</v>
      </c>
      <c r="BY47" s="244">
        <f t="shared" si="28"/>
        <v>0.0456039676102482</v>
      </c>
      <c r="BZ47" s="244">
        <f t="shared" si="28"/>
        <v>0.04450798561380391</v>
      </c>
      <c r="CA47" s="244">
        <f t="shared" si="28"/>
        <v>0.042248848105930784</v>
      </c>
      <c r="CB47" s="244">
        <f t="shared" si="28"/>
        <v>0.03969599111096827</v>
      </c>
      <c r="CC47" s="244">
        <f t="shared" si="28"/>
        <v>0.03907154084716076</v>
      </c>
      <c r="CD47" s="244">
        <f t="shared" si="28"/>
        <v>0.03364853078351451</v>
      </c>
      <c r="CE47" s="244">
        <f t="shared" si="28"/>
        <v>0.038603960497758376</v>
      </c>
      <c r="CF47" s="244">
        <f t="shared" si="28"/>
        <v>0.054612750885478165</v>
      </c>
      <c r="CG47" s="244">
        <f t="shared" si="28"/>
        <v>0.04220886075949367</v>
      </c>
      <c r="CH47" s="244">
        <f t="shared" si="28"/>
        <v>0.04418741209563994</v>
      </c>
      <c r="CI47" s="244">
        <f t="shared" si="28"/>
        <v>0.04545323488045007</v>
      </c>
      <c r="CJ47" s="244">
        <f t="shared" si="28"/>
        <v>0.04235290670417253</v>
      </c>
      <c r="CK47" s="244">
        <f t="shared" si="28"/>
        <v>0.04253551336146273</v>
      </c>
      <c r="CL47" s="244">
        <f t="shared" si="28"/>
        <v>0.046144514767932486</v>
      </c>
      <c r="CM47" s="244">
        <f t="shared" si="28"/>
        <v>0.04312189404594468</v>
      </c>
      <c r="CN47" s="244">
        <f t="shared" si="28"/>
        <v>0.040534106891701824</v>
      </c>
      <c r="CO47" s="244">
        <f t="shared" si="28"/>
        <v>0.03884294421003282</v>
      </c>
      <c r="CP47" s="244">
        <f t="shared" si="28"/>
        <v>0.04403316924519456</v>
      </c>
      <c r="CQ47" s="244">
        <f t="shared" si="28"/>
        <v>0.04879266291608064</v>
      </c>
      <c r="CR47" s="245">
        <f t="shared" si="28"/>
        <v>0.061456165025785284</v>
      </c>
    </row>
    <row r="48" spans="1:98" ht="16.5" customHeight="1" thickBot="1">
      <c r="A48" s="202" t="s">
        <v>61</v>
      </c>
      <c r="B48" s="203">
        <f aca="true" t="shared" si="29" ref="B48:AT48">B51+B52</f>
        <v>3.3</v>
      </c>
      <c r="C48" s="204">
        <f t="shared" si="29"/>
        <v>41.4</v>
      </c>
      <c r="D48" s="203">
        <f t="shared" si="29"/>
        <v>73.6</v>
      </c>
      <c r="E48" s="204">
        <f t="shared" si="29"/>
        <v>226.6</v>
      </c>
      <c r="F48" s="204">
        <f t="shared" si="29"/>
        <v>672.4000000000001</v>
      </c>
      <c r="G48" s="204">
        <f t="shared" si="29"/>
        <v>2629.1</v>
      </c>
      <c r="H48" s="204">
        <f t="shared" si="29"/>
        <v>3472.3</v>
      </c>
      <c r="I48" s="204">
        <f t="shared" si="29"/>
        <v>6174.700000000001</v>
      </c>
      <c r="J48" s="204">
        <f t="shared" si="29"/>
        <v>9238.699999999999</v>
      </c>
      <c r="K48" s="204">
        <f t="shared" si="29"/>
        <v>10835.2</v>
      </c>
      <c r="L48" s="205">
        <f t="shared" si="29"/>
        <v>11948.925216</v>
      </c>
      <c r="M48" s="205">
        <f t="shared" si="29"/>
        <v>11658.64851</v>
      </c>
      <c r="N48" s="206">
        <f t="shared" si="29"/>
        <v>11612.776000000002</v>
      </c>
      <c r="O48" s="207">
        <f t="shared" si="29"/>
        <v>11504.005491</v>
      </c>
      <c r="P48" s="207">
        <f t="shared" si="29"/>
        <v>11466.9496</v>
      </c>
      <c r="Q48" s="208">
        <f t="shared" si="29"/>
        <v>11541.84824</v>
      </c>
      <c r="R48" s="209">
        <f t="shared" si="29"/>
        <v>11637.711319999999</v>
      </c>
      <c r="S48" s="207">
        <f t="shared" si="29"/>
        <v>11677.714100000001</v>
      </c>
      <c r="T48" s="207">
        <f t="shared" si="29"/>
        <v>11597.09276</v>
      </c>
      <c r="U48" s="207">
        <f t="shared" si="29"/>
        <v>11708.48778</v>
      </c>
      <c r="V48" s="208">
        <f t="shared" si="29"/>
        <v>11922.022079999999</v>
      </c>
      <c r="W48" s="207">
        <f t="shared" si="29"/>
        <v>11923.50922</v>
      </c>
      <c r="X48" s="208">
        <f t="shared" si="29"/>
        <v>12879.4</v>
      </c>
      <c r="Y48" s="208">
        <f t="shared" si="29"/>
        <v>12622</v>
      </c>
      <c r="Z48" s="208">
        <f t="shared" si="29"/>
        <v>12595.9</v>
      </c>
      <c r="AA48" s="208">
        <f t="shared" si="29"/>
        <v>12548</v>
      </c>
      <c r="AB48" s="208">
        <f t="shared" si="29"/>
        <v>12695.6</v>
      </c>
      <c r="AC48" s="208">
        <f t="shared" si="29"/>
        <v>13013.7</v>
      </c>
      <c r="AD48" s="208">
        <f t="shared" si="29"/>
        <v>13070.9</v>
      </c>
      <c r="AE48" s="208">
        <f t="shared" si="29"/>
        <v>13244.800000000001</v>
      </c>
      <c r="AF48" s="208">
        <f t="shared" si="29"/>
        <v>13199.4</v>
      </c>
      <c r="AG48" s="208">
        <f t="shared" si="29"/>
        <v>13493</v>
      </c>
      <c r="AH48" s="208">
        <f t="shared" si="29"/>
        <v>13557.600040000001</v>
      </c>
      <c r="AI48" s="208">
        <f t="shared" si="29"/>
        <v>13574</v>
      </c>
      <c r="AJ48" s="208">
        <f t="shared" si="29"/>
        <v>14000.699999999999</v>
      </c>
      <c r="AK48" s="207">
        <f t="shared" si="29"/>
        <v>13816.3</v>
      </c>
      <c r="AL48" s="207">
        <f t="shared" si="29"/>
        <v>13794.1</v>
      </c>
      <c r="AM48" s="207">
        <f t="shared" si="29"/>
        <v>14185.900000000001</v>
      </c>
      <c r="AN48" s="207">
        <f t="shared" si="29"/>
        <v>14201.8</v>
      </c>
      <c r="AO48" s="208">
        <f t="shared" si="29"/>
        <v>14612.9</v>
      </c>
      <c r="AP48" s="209">
        <f t="shared" si="29"/>
        <v>14608.400000000001</v>
      </c>
      <c r="AQ48" s="210">
        <f t="shared" si="29"/>
        <v>14723.8</v>
      </c>
      <c r="AR48" s="207">
        <f t="shared" si="29"/>
        <v>14762.1</v>
      </c>
      <c r="AS48" s="208">
        <f t="shared" si="29"/>
        <v>14750.4</v>
      </c>
      <c r="AT48" s="209">
        <f t="shared" si="29"/>
        <v>14754.3</v>
      </c>
      <c r="AU48" s="210">
        <v>14791.1</v>
      </c>
      <c r="AV48" s="208">
        <f aca="true" t="shared" si="30" ref="AV48:CR48">AV51+AV52</f>
        <v>14971.1</v>
      </c>
      <c r="AW48" s="208">
        <f t="shared" si="30"/>
        <v>14832.800000000001</v>
      </c>
      <c r="AX48" s="208">
        <f t="shared" si="30"/>
        <v>14920.9</v>
      </c>
      <c r="AY48" s="208">
        <f t="shared" si="30"/>
        <v>14848.9</v>
      </c>
      <c r="AZ48" s="208">
        <f t="shared" si="30"/>
        <v>14852.099999999999</v>
      </c>
      <c r="BA48" s="211">
        <f t="shared" si="30"/>
        <v>14718.300000000001</v>
      </c>
      <c r="BB48" s="211">
        <f t="shared" si="30"/>
        <v>14691.2</v>
      </c>
      <c r="BC48" s="211">
        <f t="shared" si="30"/>
        <v>14691.8</v>
      </c>
      <c r="BD48" s="211">
        <f t="shared" si="30"/>
        <v>14693.9</v>
      </c>
      <c r="BE48" s="211">
        <f t="shared" si="30"/>
        <v>14709</v>
      </c>
      <c r="BF48" s="211">
        <f t="shared" si="30"/>
        <v>14655.2</v>
      </c>
      <c r="BG48" s="211">
        <f t="shared" si="30"/>
        <v>14644.4</v>
      </c>
      <c r="BH48" s="211">
        <f t="shared" si="30"/>
        <v>14891.699999999999</v>
      </c>
      <c r="BI48" s="211">
        <f t="shared" si="30"/>
        <v>14677.7</v>
      </c>
      <c r="BJ48" s="211">
        <f t="shared" si="30"/>
        <v>14865.4</v>
      </c>
      <c r="BK48" s="211">
        <f t="shared" si="30"/>
        <v>14758.34</v>
      </c>
      <c r="BL48" s="211">
        <f t="shared" si="30"/>
        <v>14771.800000000001</v>
      </c>
      <c r="BM48" s="211">
        <f t="shared" si="30"/>
        <v>16990.7</v>
      </c>
      <c r="BN48" s="211">
        <f t="shared" si="30"/>
        <v>14781.7</v>
      </c>
      <c r="BO48" s="211">
        <f t="shared" si="30"/>
        <v>14722.5</v>
      </c>
      <c r="BP48" s="211">
        <f t="shared" si="30"/>
        <v>15195.900000000001</v>
      </c>
      <c r="BQ48" s="211">
        <f t="shared" si="30"/>
        <v>15205.6</v>
      </c>
      <c r="BR48" s="211">
        <f t="shared" si="30"/>
        <v>15290.2</v>
      </c>
      <c r="BS48" s="211">
        <f t="shared" si="30"/>
        <v>15468.9</v>
      </c>
      <c r="BT48" s="211">
        <f t="shared" si="30"/>
        <v>16791.1</v>
      </c>
      <c r="BU48" s="211">
        <f t="shared" si="30"/>
        <v>16226.9</v>
      </c>
      <c r="BV48" s="211">
        <f t="shared" si="30"/>
        <v>16100.900000000001</v>
      </c>
      <c r="BW48" s="211">
        <f t="shared" si="30"/>
        <v>15960.900000000001</v>
      </c>
      <c r="BX48" s="211">
        <f t="shared" si="30"/>
        <v>16110.599999999999</v>
      </c>
      <c r="BY48" s="211">
        <f t="shared" si="30"/>
        <v>16082.7</v>
      </c>
      <c r="BZ48" s="211">
        <f t="shared" si="30"/>
        <v>16050.699999999999</v>
      </c>
      <c r="CA48" s="211">
        <f t="shared" si="30"/>
        <v>15973.599999999999</v>
      </c>
      <c r="CB48" s="211">
        <f t="shared" si="30"/>
        <v>15901.300000000001</v>
      </c>
      <c r="CC48" s="211">
        <f t="shared" si="30"/>
        <v>15856.1</v>
      </c>
      <c r="CD48" s="211">
        <f t="shared" si="30"/>
        <v>15901.300000000001</v>
      </c>
      <c r="CE48" s="211">
        <f t="shared" si="30"/>
        <v>15944.4</v>
      </c>
      <c r="CF48" s="211">
        <f t="shared" si="30"/>
        <v>16040.9</v>
      </c>
      <c r="CG48" s="211">
        <f t="shared" si="30"/>
        <v>15548.5</v>
      </c>
      <c r="CH48" s="211">
        <f t="shared" si="30"/>
        <v>15558.800000000001</v>
      </c>
      <c r="CI48" s="211">
        <f t="shared" si="30"/>
        <v>15790.3</v>
      </c>
      <c r="CJ48" s="211">
        <f t="shared" si="30"/>
        <v>15648.9</v>
      </c>
      <c r="CK48" s="211">
        <f t="shared" si="30"/>
        <v>15462</v>
      </c>
      <c r="CL48" s="211">
        <f t="shared" si="30"/>
        <v>15552.5</v>
      </c>
      <c r="CM48" s="211">
        <f t="shared" si="30"/>
        <v>15625.199999999999</v>
      </c>
      <c r="CN48" s="211">
        <f t="shared" si="30"/>
        <v>15611.599999999999</v>
      </c>
      <c r="CO48" s="211">
        <f t="shared" si="30"/>
        <v>15528.9</v>
      </c>
      <c r="CP48" s="211">
        <f t="shared" si="30"/>
        <v>15671.7</v>
      </c>
      <c r="CQ48" s="211">
        <f t="shared" si="30"/>
        <v>15672.900000000001</v>
      </c>
      <c r="CR48" s="211">
        <f t="shared" si="30"/>
        <v>15238.800000000001</v>
      </c>
      <c r="CT48" s="271"/>
    </row>
    <row r="49" spans="1:96" ht="16.5" customHeight="1" hidden="1">
      <c r="A49" s="193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2" t="s">
        <v>64</v>
      </c>
      <c r="B60" s="263"/>
      <c r="C60" s="264"/>
      <c r="D60" s="265"/>
      <c r="E60" s="265"/>
      <c r="F60" s="265"/>
      <c r="G60" s="265"/>
      <c r="H60" s="265"/>
      <c r="I60" s="265"/>
      <c r="J60" s="270">
        <v>12460.8</v>
      </c>
      <c r="K60" s="270">
        <v>76109.6</v>
      </c>
      <c r="L60" s="270">
        <v>51912.4</v>
      </c>
      <c r="M60" s="267"/>
      <c r="N60" s="267"/>
      <c r="O60" s="267"/>
      <c r="P60" s="267"/>
      <c r="Q60" s="268"/>
      <c r="R60" s="267"/>
      <c r="S60" s="268"/>
      <c r="T60" s="267"/>
      <c r="U60" s="267"/>
      <c r="V60" s="268"/>
      <c r="W60" s="267"/>
      <c r="X60" s="270">
        <v>57246.7</v>
      </c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70">
        <v>61659.6</v>
      </c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70">
        <v>55449.2</v>
      </c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70">
        <v>44743.7</v>
      </c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70">
        <v>36443.6</v>
      </c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70">
        <v>49547.2</v>
      </c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70">
        <v>41378.4</v>
      </c>
    </row>
    <row r="61" spans="1:97" ht="25.5" customHeight="1">
      <c r="A61" s="269" t="s">
        <v>65</v>
      </c>
      <c r="B61" s="263"/>
      <c r="C61" s="264"/>
      <c r="D61" s="265"/>
      <c r="E61" s="265"/>
      <c r="F61" s="265"/>
      <c r="G61" s="265"/>
      <c r="H61" s="265"/>
      <c r="I61" s="265"/>
      <c r="J61" s="265">
        <v>8868.3</v>
      </c>
      <c r="K61" s="265">
        <v>19850.4</v>
      </c>
      <c r="L61" s="265">
        <v>38724.3</v>
      </c>
      <c r="M61" s="265"/>
      <c r="N61" s="265"/>
      <c r="O61" s="265"/>
      <c r="P61" s="265"/>
      <c r="Q61" s="266"/>
      <c r="R61" s="267"/>
      <c r="S61" s="268"/>
      <c r="T61" s="265"/>
      <c r="U61" s="265"/>
      <c r="V61" s="266"/>
      <c r="W61" s="265"/>
      <c r="X61" s="265">
        <v>38324.1</v>
      </c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>
        <v>29000.9</v>
      </c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>
        <v>10785.1</v>
      </c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>
        <v>12822.9</v>
      </c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>
        <v>11454</v>
      </c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>
        <v>13727.7</v>
      </c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>
        <v>10883.1</v>
      </c>
      <c r="CS61" s="272">
        <f>CR61/CR60</f>
        <v>0.26301403630879877</v>
      </c>
    </row>
    <row r="62" spans="1:97" ht="25.5" customHeight="1">
      <c r="A62" s="269" t="s">
        <v>66</v>
      </c>
      <c r="B62" s="263"/>
      <c r="C62" s="264"/>
      <c r="D62" s="265"/>
      <c r="E62" s="265"/>
      <c r="F62" s="265"/>
      <c r="G62" s="265"/>
      <c r="H62" s="265"/>
      <c r="I62" s="265"/>
      <c r="J62" s="265">
        <v>3592.5</v>
      </c>
      <c r="K62" s="265">
        <v>56259.2</v>
      </c>
      <c r="L62" s="265">
        <v>13188.1</v>
      </c>
      <c r="M62" s="265"/>
      <c r="N62" s="265"/>
      <c r="O62" s="265"/>
      <c r="P62" s="265"/>
      <c r="Q62" s="266"/>
      <c r="R62" s="267"/>
      <c r="S62" s="268"/>
      <c r="T62" s="265"/>
      <c r="U62" s="265"/>
      <c r="V62" s="266"/>
      <c r="W62" s="265"/>
      <c r="X62" s="265">
        <v>18922.6</v>
      </c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>
        <f>AJ60-AJ61</f>
        <v>32658.699999999997</v>
      </c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>
        <f>AV60-AV61</f>
        <v>44664.1</v>
      </c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>
        <f>BH60-BH61</f>
        <v>31920.799999999996</v>
      </c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>
        <f>BT60-BT61</f>
        <v>24989.6</v>
      </c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>
        <v>35819.5</v>
      </c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>
        <f>CR60-CR61</f>
        <v>30495.300000000003</v>
      </c>
      <c r="CS62" s="272">
        <f>CR62/CR60</f>
        <v>0.7369859636912013</v>
      </c>
    </row>
    <row r="63" spans="1:96" s="252" customFormat="1" ht="12.75" customHeight="1">
      <c r="A63" s="247" t="s">
        <v>51</v>
      </c>
      <c r="B63" s="248">
        <v>2.4118</v>
      </c>
      <c r="C63" s="248">
        <v>2.7881</v>
      </c>
      <c r="D63" s="248">
        <v>3.4919000000000002</v>
      </c>
      <c r="E63" s="248">
        <v>4.1117</v>
      </c>
      <c r="F63" s="248">
        <v>3.9663</v>
      </c>
      <c r="G63" s="248">
        <v>3.6771000000000003</v>
      </c>
      <c r="H63" s="249">
        <v>3.3817</v>
      </c>
      <c r="I63" s="249">
        <v>3.6102</v>
      </c>
      <c r="J63" s="250">
        <v>3.9859999999999998</v>
      </c>
      <c r="K63" s="250">
        <v>4.2296</v>
      </c>
      <c r="L63" s="251">
        <v>4.2848</v>
      </c>
      <c r="M63" s="251">
        <v>4.2549</v>
      </c>
      <c r="N63" s="251">
        <v>4.215</v>
      </c>
      <c r="O63" s="251">
        <v>4.1141</v>
      </c>
      <c r="P63" s="251">
        <v>4.0744</v>
      </c>
      <c r="Q63" s="251">
        <v>4.1208</v>
      </c>
      <c r="R63" s="251">
        <v>4.2341</v>
      </c>
      <c r="S63" s="251">
        <v>4.2403</v>
      </c>
      <c r="T63" s="251">
        <v>4.2228</v>
      </c>
      <c r="U63" s="251">
        <v>4.3533</v>
      </c>
      <c r="V63" s="251">
        <v>4.3243</v>
      </c>
      <c r="W63" s="251">
        <v>4.3539</v>
      </c>
      <c r="X63" s="251">
        <v>4.3197</v>
      </c>
      <c r="Y63" s="251">
        <v>4.3433</v>
      </c>
      <c r="Z63" s="251">
        <v>4.3486</v>
      </c>
      <c r="AA63" s="251">
        <v>4.3791</v>
      </c>
      <c r="AB63" s="251">
        <v>4.397</v>
      </c>
      <c r="AC63" s="251">
        <v>4.4652</v>
      </c>
      <c r="AD63" s="251">
        <v>4.4494</v>
      </c>
      <c r="AE63" s="251">
        <v>4.5694</v>
      </c>
      <c r="AF63" s="251">
        <v>4.4595</v>
      </c>
      <c r="AG63" s="251">
        <v>4.5331</v>
      </c>
      <c r="AH63" s="251">
        <v>4.5358</v>
      </c>
      <c r="AI63" s="251">
        <v>4.5059000000000005</v>
      </c>
      <c r="AJ63" s="251">
        <v>4.4287</v>
      </c>
      <c r="AK63" s="251">
        <v>4.3828</v>
      </c>
      <c r="AL63" s="251">
        <v>4.3698</v>
      </c>
      <c r="AM63" s="251">
        <v>4.4154</v>
      </c>
      <c r="AN63" s="251">
        <v>4.3237</v>
      </c>
      <c r="AO63" s="251">
        <v>4.3794</v>
      </c>
      <c r="AP63" s="251">
        <v>4.4588</v>
      </c>
      <c r="AQ63" s="251">
        <v>4.4048</v>
      </c>
      <c r="AR63" s="251">
        <v>4.4367</v>
      </c>
      <c r="AS63" s="251">
        <v>4.4604</v>
      </c>
      <c r="AT63" s="251">
        <v>4.4306</v>
      </c>
      <c r="AU63" s="251">
        <v>4.4412</v>
      </c>
      <c r="AV63" s="251">
        <v>4.4847</v>
      </c>
      <c r="AW63" s="251">
        <v>4.4978</v>
      </c>
      <c r="AX63" s="251">
        <v>4.4995</v>
      </c>
      <c r="AY63" s="251">
        <v>4.4553</v>
      </c>
      <c r="AZ63" s="251">
        <v>4.4503</v>
      </c>
      <c r="BA63" s="251">
        <v>4.3986</v>
      </c>
      <c r="BB63" s="251">
        <v>4.3870000000000005</v>
      </c>
      <c r="BC63" s="251">
        <v>4.4188</v>
      </c>
      <c r="BD63" s="251">
        <v>4.4126</v>
      </c>
      <c r="BE63" s="251">
        <v>4.4114</v>
      </c>
      <c r="BF63" s="251">
        <v>4.4139</v>
      </c>
      <c r="BG63" s="251">
        <v>4.4247</v>
      </c>
      <c r="BH63" s="251">
        <v>4.4821</v>
      </c>
      <c r="BI63" s="251">
        <v>4.4424</v>
      </c>
      <c r="BJ63" s="251">
        <v>4.4381</v>
      </c>
      <c r="BK63" s="251">
        <v>4.4098</v>
      </c>
      <c r="BL63" s="251">
        <v>4.4198</v>
      </c>
      <c r="BM63" s="251">
        <v>4.4395</v>
      </c>
      <c r="BN63" s="251">
        <v>4.4735</v>
      </c>
      <c r="BO63" s="251">
        <v>4.407</v>
      </c>
      <c r="BP63" s="251">
        <v>4.4321</v>
      </c>
      <c r="BQ63" s="251">
        <v>4.4167</v>
      </c>
      <c r="BR63" s="251">
        <v>4.4322</v>
      </c>
      <c r="BS63" s="251">
        <v>4.446</v>
      </c>
      <c r="BT63" s="251">
        <v>4.5245</v>
      </c>
      <c r="BU63" s="251">
        <v>4.5337</v>
      </c>
      <c r="BV63" s="251">
        <v>4.4692</v>
      </c>
      <c r="BW63" s="251">
        <v>4.4738</v>
      </c>
      <c r="BX63" s="251">
        <v>4.4774</v>
      </c>
      <c r="BY63" s="251">
        <v>4.5115</v>
      </c>
      <c r="BZ63" s="251">
        <v>4.521</v>
      </c>
      <c r="CA63" s="251">
        <v>4.4654</v>
      </c>
      <c r="CB63" s="251">
        <v>4.4654</v>
      </c>
      <c r="CC63" s="251">
        <v>4.4523</v>
      </c>
      <c r="CD63" s="251">
        <v>4.5057</v>
      </c>
      <c r="CE63" s="251">
        <v>4.5057</v>
      </c>
      <c r="CF63" s="251">
        <v>4.5411</v>
      </c>
      <c r="CG63" s="251">
        <v>4.5038</v>
      </c>
      <c r="CH63" s="251">
        <v>4.516</v>
      </c>
      <c r="CI63" s="251">
        <v>4.5511</v>
      </c>
      <c r="CJ63" s="251">
        <v>4.5333</v>
      </c>
      <c r="CK63" s="251">
        <v>4.5702</v>
      </c>
      <c r="CL63" s="251">
        <v>4.5539</v>
      </c>
      <c r="CM63" s="251">
        <v>4.5598</v>
      </c>
      <c r="CN63" s="251">
        <v>4.5906</v>
      </c>
      <c r="CO63" s="251">
        <v>4.5991</v>
      </c>
      <c r="CP63" s="251">
        <v>4.5985</v>
      </c>
      <c r="CQ63" s="251">
        <v>4.6422</v>
      </c>
      <c r="CR63" s="251">
        <v>4.6597</v>
      </c>
    </row>
    <row r="64" spans="1:96" s="252" customFormat="1" ht="11.25" customHeight="1">
      <c r="A64" s="247" t="s">
        <v>52</v>
      </c>
      <c r="B64" s="253">
        <v>81275</v>
      </c>
      <c r="C64" s="253">
        <v>118327</v>
      </c>
      <c r="D64" s="253">
        <v>152630</v>
      </c>
      <c r="E64" s="253">
        <v>198761</v>
      </c>
      <c r="F64" s="253">
        <v>248748</v>
      </c>
      <c r="G64" s="253">
        <v>290489</v>
      </c>
      <c r="H64" s="254">
        <v>347004</v>
      </c>
      <c r="I64" s="254">
        <v>418258</v>
      </c>
      <c r="J64" s="254">
        <v>524388.7</v>
      </c>
      <c r="K64" s="254">
        <v>510522.8</v>
      </c>
      <c r="L64" s="255">
        <v>533881</v>
      </c>
      <c r="M64" s="256">
        <v>563100</v>
      </c>
      <c r="N64" s="256">
        <v>563100</v>
      </c>
      <c r="O64" s="256">
        <v>563100</v>
      </c>
      <c r="P64" s="256">
        <v>563100</v>
      </c>
      <c r="Q64" s="256">
        <v>563100</v>
      </c>
      <c r="R64" s="256">
        <v>563100</v>
      </c>
      <c r="S64" s="256">
        <v>563100</v>
      </c>
      <c r="T64" s="256">
        <v>563100</v>
      </c>
      <c r="U64" s="256">
        <v>563100</v>
      </c>
      <c r="V64" s="256">
        <v>563100</v>
      </c>
      <c r="W64" s="256">
        <v>563100</v>
      </c>
      <c r="X64" s="256">
        <v>565097</v>
      </c>
      <c r="Y64" s="256">
        <v>585200</v>
      </c>
      <c r="Z64" s="256">
        <v>585200</v>
      </c>
      <c r="AA64" s="256">
        <v>585200</v>
      </c>
      <c r="AB64" s="256">
        <v>585200</v>
      </c>
      <c r="AC64" s="256">
        <v>585200</v>
      </c>
      <c r="AD64" s="256">
        <v>585200</v>
      </c>
      <c r="AE64" s="256">
        <v>585200</v>
      </c>
      <c r="AF64" s="256">
        <v>585200</v>
      </c>
      <c r="AG64" s="256">
        <v>585200</v>
      </c>
      <c r="AH64" s="256">
        <v>585200</v>
      </c>
      <c r="AI64" s="256">
        <v>585200</v>
      </c>
      <c r="AJ64" s="256">
        <v>595367</v>
      </c>
      <c r="AK64" s="256">
        <v>623300</v>
      </c>
      <c r="AL64" s="256">
        <v>623300</v>
      </c>
      <c r="AM64" s="256">
        <v>623300</v>
      </c>
      <c r="AN64" s="256">
        <v>623300</v>
      </c>
      <c r="AO64" s="256">
        <v>623300</v>
      </c>
      <c r="AP64" s="256">
        <v>626200</v>
      </c>
      <c r="AQ64" s="256">
        <v>626200</v>
      </c>
      <c r="AR64" s="256">
        <v>626200</v>
      </c>
      <c r="AS64" s="256">
        <v>625600</v>
      </c>
      <c r="AT64" s="256">
        <v>625600</v>
      </c>
      <c r="AU64" s="256">
        <v>625600</v>
      </c>
      <c r="AV64" s="256">
        <v>637456</v>
      </c>
      <c r="AW64" s="256">
        <v>669509.2</v>
      </c>
      <c r="AX64" s="256">
        <v>669509.2</v>
      </c>
      <c r="AY64" s="256">
        <v>669509.2</v>
      </c>
      <c r="AZ64" s="256">
        <v>669509.2</v>
      </c>
      <c r="BA64" s="256">
        <v>669509.2</v>
      </c>
      <c r="BB64" s="256">
        <v>669509.2</v>
      </c>
      <c r="BC64" s="256">
        <v>669509.2</v>
      </c>
      <c r="BD64" s="256">
        <v>669509.2</v>
      </c>
      <c r="BE64" s="256">
        <v>669509.2</v>
      </c>
      <c r="BF64" s="256">
        <v>669509.2</v>
      </c>
      <c r="BG64" s="256">
        <v>669509.2</v>
      </c>
      <c r="BH64" s="256">
        <v>668144</v>
      </c>
      <c r="BI64" s="256">
        <v>710266.6</v>
      </c>
      <c r="BJ64" s="256">
        <v>710266.6</v>
      </c>
      <c r="BK64" s="256">
        <v>710266.6</v>
      </c>
      <c r="BL64" s="256">
        <v>710266.6</v>
      </c>
      <c r="BM64" s="256">
        <v>710266.6</v>
      </c>
      <c r="BN64" s="256">
        <v>710266.6</v>
      </c>
      <c r="BO64" s="256">
        <v>710266.6</v>
      </c>
      <c r="BP64" s="256">
        <v>710266.6</v>
      </c>
      <c r="BQ64" s="256">
        <v>710266.6</v>
      </c>
      <c r="BR64" s="256">
        <v>710266.6</v>
      </c>
      <c r="BS64" s="256">
        <v>710266.6</v>
      </c>
      <c r="BT64" s="256">
        <v>712659</v>
      </c>
      <c r="BU64" s="256">
        <v>759227.8</v>
      </c>
      <c r="BV64" s="256">
        <v>759227.8</v>
      </c>
      <c r="BW64" s="256">
        <v>759227.8</v>
      </c>
      <c r="BX64" s="256">
        <v>759227.8</v>
      </c>
      <c r="BY64" s="256">
        <v>759227.8</v>
      </c>
      <c r="BZ64" s="256">
        <v>759227.8</v>
      </c>
      <c r="CA64" s="256">
        <v>759227.8</v>
      </c>
      <c r="CB64" s="256">
        <v>759227.8</v>
      </c>
      <c r="CC64" s="256">
        <v>759227.8</v>
      </c>
      <c r="CD64" s="256">
        <v>759227.8</v>
      </c>
      <c r="CE64" s="256">
        <v>759227.8</v>
      </c>
      <c r="CF64" s="256">
        <v>762300</v>
      </c>
      <c r="CG64" s="256">
        <v>853200</v>
      </c>
      <c r="CH64" s="256">
        <v>853200</v>
      </c>
      <c r="CI64" s="256">
        <v>853200</v>
      </c>
      <c r="CJ64" s="256">
        <v>853200</v>
      </c>
      <c r="CK64" s="256">
        <v>853200</v>
      </c>
      <c r="CL64" s="256">
        <v>853200</v>
      </c>
      <c r="CM64" s="256">
        <v>853200</v>
      </c>
      <c r="CN64" s="256">
        <v>853200</v>
      </c>
      <c r="CO64" s="256">
        <v>853200</v>
      </c>
      <c r="CP64" s="256">
        <v>853200</v>
      </c>
      <c r="CQ64" s="256">
        <v>853200</v>
      </c>
      <c r="CR64" s="256">
        <v>853200</v>
      </c>
    </row>
    <row r="65" spans="1:95" s="252" customFormat="1" ht="16.5" customHeight="1">
      <c r="A65" s="257" t="s">
        <v>53</v>
      </c>
      <c r="B65" s="258"/>
      <c r="C65" s="258"/>
      <c r="D65" s="258"/>
      <c r="E65" s="258"/>
      <c r="F65" s="258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Q65" s="260"/>
    </row>
    <row r="66" spans="1:95" s="252" customFormat="1" ht="16.5" customHeight="1">
      <c r="A66" s="329" t="s">
        <v>57</v>
      </c>
      <c r="B66" s="329"/>
      <c r="C66" s="329"/>
      <c r="D66" s="329"/>
      <c r="E66" s="329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Q66" s="260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view="pageBreakPreview" zoomScale="75" zoomScaleNormal="75" zoomScaleSheetLayoutView="75" zoomScalePageLayoutView="0" workbookViewId="0" topLeftCell="A1">
      <pane xSplit="1" topLeftCell="C1" activePane="topRight" state="frozen"/>
      <selection pane="topLeft" activeCell="A1" sqref="A1"/>
      <selection pane="topRight" activeCell="Z11" sqref="Z11"/>
    </sheetView>
  </sheetViews>
  <sheetFormatPr defaultColWidth="9.6640625" defaultRowHeight="16.5" customHeight="1"/>
  <cols>
    <col min="1" max="1" width="35.21484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9.3359375" style="163" customWidth="1"/>
    <col min="12" max="13" width="8.10546875" style="1" bestFit="1" customWidth="1"/>
    <col min="14" max="14" width="9.4453125" style="1" customWidth="1"/>
    <col min="15" max="15" width="8.4453125" style="163" customWidth="1"/>
    <col min="16" max="16" width="9.77734375" style="1" customWidth="1"/>
    <col min="17" max="17" width="9.6640625" style="163" customWidth="1"/>
    <col min="18" max="18" width="10.4453125" style="153" customWidth="1"/>
    <col min="19" max="19" width="10.10546875" style="1" bestFit="1" customWidth="1"/>
    <col min="20" max="20" width="10.77734375" style="1" bestFit="1" customWidth="1"/>
    <col min="21" max="25" width="10.21484375" style="1" bestFit="1" customWidth="1"/>
    <col min="26" max="16384" width="9.6640625" style="1" customWidth="1"/>
  </cols>
  <sheetData>
    <row r="1" spans="1:25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5">
        <f>(Q15+Q17+Q19)/Q59</f>
        <v>42656.49243010277</v>
      </c>
      <c r="R1" s="195">
        <f>(R15+R17+R19)/R59</f>
        <v>46772.103675320956</v>
      </c>
      <c r="T1" s="152"/>
      <c r="Y1" s="1" t="s">
        <v>54</v>
      </c>
    </row>
    <row r="2" spans="1:25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282">
        <v>2018</v>
      </c>
      <c r="U2" s="282">
        <v>2019</v>
      </c>
      <c r="V2" s="174">
        <v>43861</v>
      </c>
      <c r="W2" s="277">
        <v>43890</v>
      </c>
      <c r="X2" s="277">
        <v>43921</v>
      </c>
      <c r="Y2" s="277">
        <v>43951</v>
      </c>
    </row>
    <row r="3" spans="1:25" ht="27.75" customHeight="1" thickBot="1">
      <c r="A3" s="183" t="s">
        <v>1</v>
      </c>
      <c r="B3" s="180">
        <f>B5+B47</f>
        <v>25288.80802</v>
      </c>
      <c r="C3" s="180">
        <f aca="true" t="shared" si="0" ref="C3:W3">C5+C47</f>
        <v>33817.842</v>
      </c>
      <c r="D3" s="180">
        <f t="shared" si="0"/>
        <v>43867.39546</v>
      </c>
      <c r="E3" s="180">
        <f t="shared" si="0"/>
        <v>51363.20874999999</v>
      </c>
      <c r="F3" s="180">
        <f t="shared" si="0"/>
        <v>55819.68415</v>
      </c>
      <c r="G3" s="180">
        <f t="shared" si="0"/>
        <v>59010.94912</v>
      </c>
      <c r="H3" s="180">
        <f t="shared" si="0"/>
        <v>63340.806710000004</v>
      </c>
      <c r="I3" s="180">
        <f t="shared" si="0"/>
        <v>82324.33</v>
      </c>
      <c r="J3" s="180">
        <f t="shared" si="0"/>
        <v>109795.09999999999</v>
      </c>
      <c r="K3" s="180">
        <f t="shared" si="0"/>
        <v>147329</v>
      </c>
      <c r="L3" s="180">
        <f t="shared" si="0"/>
        <v>194459.225216</v>
      </c>
      <c r="M3" s="180">
        <f t="shared" si="0"/>
        <v>223268</v>
      </c>
      <c r="N3" s="180">
        <f t="shared" si="0"/>
        <v>240842.6</v>
      </c>
      <c r="O3" s="180">
        <f t="shared" si="0"/>
        <v>267150.89999999997</v>
      </c>
      <c r="P3" s="180">
        <f t="shared" si="0"/>
        <v>295655.5</v>
      </c>
      <c r="Q3" s="180">
        <f t="shared" si="0"/>
        <v>315933.69999999995</v>
      </c>
      <c r="R3" s="180">
        <f t="shared" si="0"/>
        <v>339080.2</v>
      </c>
      <c r="S3" s="180">
        <f t="shared" si="0"/>
        <v>368448.9</v>
      </c>
      <c r="T3" s="180">
        <f t="shared" si="0"/>
        <v>400923</v>
      </c>
      <c r="U3" s="180">
        <f t="shared" si="0"/>
        <v>448948.5</v>
      </c>
      <c r="V3" s="180">
        <f t="shared" si="0"/>
        <v>459686.2</v>
      </c>
      <c r="W3" s="278">
        <f t="shared" si="0"/>
        <v>466930.30000000005</v>
      </c>
      <c r="X3" s="278">
        <f>X5+X47</f>
        <v>478843.7</v>
      </c>
      <c r="Y3" s="278">
        <f>Y5+Y47</f>
        <v>490512.6</v>
      </c>
    </row>
    <row r="4" spans="1:25" ht="27.75" customHeight="1" thickBot="1">
      <c r="A4" s="183" t="s">
        <v>56</v>
      </c>
      <c r="B4" s="181">
        <f>B3/B60</f>
        <v>0.3111511291294986</v>
      </c>
      <c r="C4" s="181">
        <f aca="true" t="shared" si="1" ref="C4:W4">C3/C60</f>
        <v>0.28579987661311446</v>
      </c>
      <c r="D4" s="181">
        <f t="shared" si="1"/>
        <v>0.2874100469108301</v>
      </c>
      <c r="E4" s="181">
        <f t="shared" si="1"/>
        <v>0.2584169366726872</v>
      </c>
      <c r="F4" s="181">
        <f t="shared" si="1"/>
        <v>0.2244025445430717</v>
      </c>
      <c r="G4" s="181">
        <f t="shared" si="1"/>
        <v>0.20314348949529928</v>
      </c>
      <c r="H4" s="181">
        <f t="shared" si="1"/>
        <v>0.18253624370324262</v>
      </c>
      <c r="I4" s="181">
        <f t="shared" si="1"/>
        <v>0.19190759920648798</v>
      </c>
      <c r="J4" s="181">
        <f t="shared" si="1"/>
        <v>0.20406114673357492</v>
      </c>
      <c r="K4" s="181">
        <f t="shared" si="1"/>
        <v>0.27990956501914144</v>
      </c>
      <c r="L4" s="181">
        <f t="shared" si="1"/>
        <v>0.367164677612797</v>
      </c>
      <c r="M4" s="181">
        <f t="shared" si="1"/>
        <v>0.3972301988036907</v>
      </c>
      <c r="N4" s="181">
        <f t="shared" si="1"/>
        <v>0.40452796342424086</v>
      </c>
      <c r="O4" s="181">
        <f t="shared" si="1"/>
        <v>0.4190891606636379</v>
      </c>
      <c r="P4" s="181">
        <f t="shared" si="1"/>
        <v>0.4422074814161145</v>
      </c>
      <c r="Q4" s="181">
        <f t="shared" si="1"/>
        <v>0.4433609603305135</v>
      </c>
      <c r="R4" s="181">
        <f t="shared" si="1"/>
        <v>0.44316388611160124</v>
      </c>
      <c r="S4" s="181">
        <f t="shared" si="1"/>
        <v>0.42947968052071583</v>
      </c>
      <c r="T4" s="181">
        <f t="shared" si="1"/>
        <v>0.42096214518990405</v>
      </c>
      <c r="U4" s="181">
        <f>U3/U60</f>
        <v>0.4236150492119762</v>
      </c>
      <c r="V4" s="181">
        <f t="shared" si="1"/>
        <v>0.424793649620197</v>
      </c>
      <c r="W4" s="279">
        <f t="shared" si="1"/>
        <v>0.4314878851165284</v>
      </c>
      <c r="X4" s="279">
        <f>X3/X60</f>
        <v>0.4424969966917405</v>
      </c>
      <c r="Y4" s="279">
        <f>Y3/Y60</f>
        <v>0.4532801670763487</v>
      </c>
    </row>
    <row r="5" spans="1:25" ht="21" customHeight="1">
      <c r="A5" s="184" t="s">
        <v>2</v>
      </c>
      <c r="B5" s="27">
        <f>B7</f>
        <v>25285.50802</v>
      </c>
      <c r="C5" s="321">
        <f aca="true" t="shared" si="2" ref="C5:W5">C7</f>
        <v>33776.441999999995</v>
      </c>
      <c r="D5" s="321">
        <f t="shared" si="2"/>
        <v>43793.79546</v>
      </c>
      <c r="E5" s="321">
        <f t="shared" si="2"/>
        <v>51136.60874999999</v>
      </c>
      <c r="F5" s="321">
        <f t="shared" si="2"/>
        <v>55147.28415</v>
      </c>
      <c r="G5" s="321">
        <f t="shared" si="2"/>
        <v>56381.84912</v>
      </c>
      <c r="H5" s="321">
        <f t="shared" si="2"/>
        <v>59868.50671</v>
      </c>
      <c r="I5" s="321">
        <f t="shared" si="2"/>
        <v>76149.63</v>
      </c>
      <c r="J5" s="321">
        <f t="shared" si="2"/>
        <v>100556.4</v>
      </c>
      <c r="K5" s="321">
        <f t="shared" si="2"/>
        <v>136493.8</v>
      </c>
      <c r="L5" s="321">
        <f t="shared" si="2"/>
        <v>182510.3</v>
      </c>
      <c r="M5" s="321">
        <f t="shared" si="2"/>
        <v>210388.6</v>
      </c>
      <c r="N5" s="321">
        <f t="shared" si="2"/>
        <v>226841.9</v>
      </c>
      <c r="O5" s="321">
        <f t="shared" si="2"/>
        <v>252179.8</v>
      </c>
      <c r="P5" s="321">
        <f t="shared" si="2"/>
        <v>280763.8</v>
      </c>
      <c r="Q5" s="321">
        <f t="shared" si="2"/>
        <v>299142.6</v>
      </c>
      <c r="R5" s="321">
        <f t="shared" si="2"/>
        <v>323039.3</v>
      </c>
      <c r="S5" s="321">
        <f t="shared" si="2"/>
        <v>353015.9</v>
      </c>
      <c r="T5" s="322">
        <f t="shared" si="2"/>
        <v>384965</v>
      </c>
      <c r="U5" s="323">
        <f t="shared" si="2"/>
        <v>432481.5</v>
      </c>
      <c r="V5" s="323">
        <f t="shared" si="2"/>
        <v>443714.60000000003</v>
      </c>
      <c r="W5" s="291">
        <f t="shared" si="2"/>
        <v>450939.4</v>
      </c>
      <c r="X5" s="291">
        <f>X7</f>
        <v>462847.7</v>
      </c>
      <c r="Y5" s="291">
        <f>Y7</f>
        <v>473992</v>
      </c>
    </row>
    <row r="6" spans="1:25" ht="16.5" customHeight="1">
      <c r="A6" s="185" t="s">
        <v>3</v>
      </c>
      <c r="B6" s="320">
        <f>B5/B60</f>
        <v>0.3111105262380806</v>
      </c>
      <c r="C6" s="327">
        <f aca="true" t="shared" si="3" ref="C6:V6">C5/C60</f>
        <v>0.28544999873232646</v>
      </c>
      <c r="D6" s="327">
        <f t="shared" si="3"/>
        <v>0.2869278350258796</v>
      </c>
      <c r="E6" s="327">
        <f t="shared" si="3"/>
        <v>0.2572768739843329</v>
      </c>
      <c r="F6" s="327">
        <f t="shared" si="3"/>
        <v>0.22169940723141493</v>
      </c>
      <c r="G6" s="327">
        <f t="shared" si="3"/>
        <v>0.1940928886119612</v>
      </c>
      <c r="H6" s="327">
        <f t="shared" si="3"/>
        <v>0.1725297308100195</v>
      </c>
      <c r="I6" s="327">
        <f t="shared" si="3"/>
        <v>0.17751365451455667</v>
      </c>
      <c r="J6" s="327">
        <f t="shared" si="3"/>
        <v>0.18689043769166433</v>
      </c>
      <c r="K6" s="327">
        <f t="shared" si="3"/>
        <v>0.2593238275275722</v>
      </c>
      <c r="L6" s="327">
        <f t="shared" si="3"/>
        <v>0.34460353005150823</v>
      </c>
      <c r="M6" s="327">
        <f t="shared" si="3"/>
        <v>0.374315644893268</v>
      </c>
      <c r="N6" s="327">
        <f t="shared" si="3"/>
        <v>0.3810118800672526</v>
      </c>
      <c r="O6" s="327">
        <f t="shared" si="3"/>
        <v>0.39560346125850254</v>
      </c>
      <c r="P6" s="327">
        <f t="shared" si="3"/>
        <v>0.4199341898622474</v>
      </c>
      <c r="Q6" s="327">
        <f t="shared" si="3"/>
        <v>0.41979741449477115</v>
      </c>
      <c r="R6" s="327">
        <f t="shared" si="3"/>
        <v>0.4221990890496448</v>
      </c>
      <c r="S6" s="327">
        <f t="shared" si="3"/>
        <v>0.4114903205050496</v>
      </c>
      <c r="T6" s="327">
        <f t="shared" si="3"/>
        <v>0.40420652400344054</v>
      </c>
      <c r="U6" s="327">
        <f t="shared" si="3"/>
        <v>0.40807725586736404</v>
      </c>
      <c r="V6" s="327">
        <f t="shared" si="3"/>
        <v>0.41003437632838635</v>
      </c>
      <c r="W6" s="328">
        <f>W5/W60</f>
        <v>0.41671077679413016</v>
      </c>
      <c r="X6" s="328">
        <f>X5/X60</f>
        <v>0.42771517548561183</v>
      </c>
      <c r="Y6" s="328">
        <f>Y5/Y60</f>
        <v>0.4380135657123847</v>
      </c>
    </row>
    <row r="7" spans="1:25" ht="16.5" customHeight="1">
      <c r="A7" s="186" t="s">
        <v>4</v>
      </c>
      <c r="B7" s="46">
        <f>B8+B9</f>
        <v>25285.50802</v>
      </c>
      <c r="C7" s="324">
        <f aca="true" t="shared" si="4" ref="C7:W7">C8+C9</f>
        <v>33776.441999999995</v>
      </c>
      <c r="D7" s="324">
        <f t="shared" si="4"/>
        <v>43793.79546</v>
      </c>
      <c r="E7" s="324">
        <f t="shared" si="4"/>
        <v>51136.60874999999</v>
      </c>
      <c r="F7" s="324">
        <f t="shared" si="4"/>
        <v>55147.28415</v>
      </c>
      <c r="G7" s="324">
        <f t="shared" si="4"/>
        <v>56381.84912</v>
      </c>
      <c r="H7" s="324">
        <f t="shared" si="4"/>
        <v>59868.50671</v>
      </c>
      <c r="I7" s="324">
        <f t="shared" si="4"/>
        <v>76149.63</v>
      </c>
      <c r="J7" s="324">
        <f t="shared" si="4"/>
        <v>100556.4</v>
      </c>
      <c r="K7" s="324">
        <f t="shared" si="4"/>
        <v>136493.8</v>
      </c>
      <c r="L7" s="324">
        <f t="shared" si="4"/>
        <v>182510.3</v>
      </c>
      <c r="M7" s="324">
        <f t="shared" si="4"/>
        <v>210388.6</v>
      </c>
      <c r="N7" s="324">
        <f t="shared" si="4"/>
        <v>226841.9</v>
      </c>
      <c r="O7" s="324">
        <f t="shared" si="4"/>
        <v>252179.8</v>
      </c>
      <c r="P7" s="324">
        <f t="shared" si="4"/>
        <v>280763.8</v>
      </c>
      <c r="Q7" s="324">
        <f t="shared" si="4"/>
        <v>299142.6</v>
      </c>
      <c r="R7" s="324">
        <f t="shared" si="4"/>
        <v>323039.3</v>
      </c>
      <c r="S7" s="324">
        <f t="shared" si="4"/>
        <v>353015.9</v>
      </c>
      <c r="T7" s="325">
        <f t="shared" si="4"/>
        <v>384965</v>
      </c>
      <c r="U7" s="326">
        <f t="shared" si="4"/>
        <v>432481.5</v>
      </c>
      <c r="V7" s="326">
        <f t="shared" si="4"/>
        <v>443714.60000000003</v>
      </c>
      <c r="W7" s="292">
        <f t="shared" si="4"/>
        <v>450939.4</v>
      </c>
      <c r="X7" s="292">
        <f>X8+X9</f>
        <v>462847.7</v>
      </c>
      <c r="Y7" s="292">
        <f>Y8+Y9</f>
        <v>473992</v>
      </c>
    </row>
    <row r="8" spans="1:25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3">
        <v>265448.5</v>
      </c>
      <c r="Q8" s="273">
        <v>283579.5</v>
      </c>
      <c r="R8" s="273">
        <v>306440.5</v>
      </c>
      <c r="S8" s="273">
        <v>335543.2</v>
      </c>
      <c r="T8" s="105">
        <v>366933.4</v>
      </c>
      <c r="U8" s="284">
        <v>413853.7</v>
      </c>
      <c r="V8" s="284">
        <v>425118.2</v>
      </c>
      <c r="W8" s="293">
        <v>432365.9</v>
      </c>
      <c r="X8" s="293">
        <v>444258.7</v>
      </c>
      <c r="Y8" s="293">
        <v>455318.5</v>
      </c>
    </row>
    <row r="9" spans="1:25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4">
        <v>15315.3</v>
      </c>
      <c r="Q9" s="274">
        <v>15563.1</v>
      </c>
      <c r="R9" s="274">
        <v>16598.8</v>
      </c>
      <c r="S9" s="274">
        <v>17472.7</v>
      </c>
      <c r="T9" s="64">
        <v>18031.6</v>
      </c>
      <c r="U9" s="285">
        <v>18627.8</v>
      </c>
      <c r="V9" s="285">
        <v>18596.4</v>
      </c>
      <c r="W9" s="294">
        <v>18573.5</v>
      </c>
      <c r="X9" s="294">
        <v>18589</v>
      </c>
      <c r="Y9" s="294">
        <v>18673.5</v>
      </c>
    </row>
    <row r="10" spans="1:25" ht="16.5" customHeight="1">
      <c r="A10" s="186" t="s">
        <v>7</v>
      </c>
      <c r="B10" s="71">
        <f>B11+B12+B13</f>
        <v>25285.5</v>
      </c>
      <c r="C10" s="71">
        <f aca="true" t="shared" si="5" ref="C10:W10">C11+C12+C13</f>
        <v>33776.4</v>
      </c>
      <c r="D10" s="71">
        <f t="shared" si="5"/>
        <v>43793.8</v>
      </c>
      <c r="E10" s="71">
        <f t="shared" si="5"/>
        <v>51136.6</v>
      </c>
      <c r="F10" s="71">
        <f t="shared" si="5"/>
        <v>55147.299999999996</v>
      </c>
      <c r="G10" s="71">
        <f t="shared" si="5"/>
        <v>56381.8</v>
      </c>
      <c r="H10" s="71">
        <f t="shared" si="5"/>
        <v>59868.5</v>
      </c>
      <c r="I10" s="71">
        <f t="shared" si="5"/>
        <v>76149.6</v>
      </c>
      <c r="J10" s="71">
        <f t="shared" si="5"/>
        <v>100556.4</v>
      </c>
      <c r="K10" s="71">
        <f t="shared" si="5"/>
        <v>136493.8</v>
      </c>
      <c r="L10" s="71">
        <f t="shared" si="5"/>
        <v>182510.3</v>
      </c>
      <c r="M10" s="71">
        <f t="shared" si="5"/>
        <v>210388.6</v>
      </c>
      <c r="N10" s="71">
        <f t="shared" si="5"/>
        <v>226841.89999999997</v>
      </c>
      <c r="O10" s="71">
        <f t="shared" si="5"/>
        <v>252179.75</v>
      </c>
      <c r="P10" s="71">
        <f t="shared" si="5"/>
        <v>280763.8</v>
      </c>
      <c r="Q10" s="71">
        <f t="shared" si="5"/>
        <v>299142.60000000003</v>
      </c>
      <c r="R10" s="71">
        <f t="shared" si="5"/>
        <v>323039.3</v>
      </c>
      <c r="S10" s="71">
        <f t="shared" si="5"/>
        <v>353015.9</v>
      </c>
      <c r="T10" s="74">
        <f t="shared" si="5"/>
        <v>384965</v>
      </c>
      <c r="U10" s="286">
        <f t="shared" si="5"/>
        <v>432481.5</v>
      </c>
      <c r="V10" s="286">
        <f t="shared" si="5"/>
        <v>443714.6</v>
      </c>
      <c r="W10" s="295">
        <f t="shared" si="5"/>
        <v>450939.39999999997</v>
      </c>
      <c r="X10" s="295">
        <f>X11+X12+X13</f>
        <v>462847.7</v>
      </c>
      <c r="Y10" s="295">
        <f>Y11+Y12+Y13</f>
        <v>473992</v>
      </c>
    </row>
    <row r="11" spans="1:25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4">
        <v>60926.1</v>
      </c>
      <c r="Q11" s="274">
        <v>55094.5</v>
      </c>
      <c r="R11" s="274">
        <v>52539.1</v>
      </c>
      <c r="S11" s="274">
        <v>47801.5</v>
      </c>
      <c r="T11" s="64">
        <v>39764.8</v>
      </c>
      <c r="U11" s="285">
        <v>33779.3</v>
      </c>
      <c r="V11" s="285">
        <v>33775.7</v>
      </c>
      <c r="W11" s="294">
        <v>34830.5</v>
      </c>
      <c r="X11" s="294">
        <v>35832.1</v>
      </c>
      <c r="Y11" s="294">
        <v>35798.1</v>
      </c>
    </row>
    <row r="12" spans="1:25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4">
        <v>184.2</v>
      </c>
      <c r="Q12" s="274">
        <v>171.9</v>
      </c>
      <c r="R12" s="274">
        <v>166.7</v>
      </c>
      <c r="S12" s="274">
        <v>144.7</v>
      </c>
      <c r="T12" s="64">
        <v>79.1</v>
      </c>
      <c r="U12" s="285">
        <v>75.1</v>
      </c>
      <c r="V12" s="285">
        <v>74.8</v>
      </c>
      <c r="W12" s="294">
        <v>75.3</v>
      </c>
      <c r="X12" s="294">
        <v>75.6</v>
      </c>
      <c r="Y12" s="294">
        <v>88.1</v>
      </c>
    </row>
    <row r="13" spans="1:25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75">
        <v>219653.5</v>
      </c>
      <c r="Q13" s="275">
        <v>243876.2</v>
      </c>
      <c r="R13" s="275">
        <v>270333.5</v>
      </c>
      <c r="S13" s="275">
        <v>305069.7</v>
      </c>
      <c r="T13" s="283">
        <v>345121.1</v>
      </c>
      <c r="U13" s="287">
        <v>398627.1</v>
      </c>
      <c r="V13" s="287">
        <v>409864.1</v>
      </c>
      <c r="W13" s="296">
        <v>416033.6</v>
      </c>
      <c r="X13" s="296">
        <v>426940</v>
      </c>
      <c r="Y13" s="296">
        <v>438105.8</v>
      </c>
    </row>
    <row r="14" spans="1:25" ht="16.5" customHeight="1">
      <c r="A14" s="188" t="s">
        <v>11</v>
      </c>
      <c r="B14" s="71">
        <f>B15+B16+B17+B18+B19+B20+B21+B22</f>
        <v>25285.5</v>
      </c>
      <c r="C14" s="71">
        <f aca="true" t="shared" si="6" ref="C14:W14">C15+C16+C17+C18+C19+C20+C21+C22</f>
        <v>33776.4</v>
      </c>
      <c r="D14" s="71">
        <f t="shared" si="6"/>
        <v>43793.8</v>
      </c>
      <c r="E14" s="71">
        <f t="shared" si="6"/>
        <v>51136.600000000006</v>
      </c>
      <c r="F14" s="71">
        <f t="shared" si="6"/>
        <v>55147.299999999996</v>
      </c>
      <c r="G14" s="71">
        <f t="shared" si="6"/>
        <v>56381.799999999996</v>
      </c>
      <c r="H14" s="71">
        <f t="shared" si="6"/>
        <v>59868.5</v>
      </c>
      <c r="I14" s="71">
        <f t="shared" si="6"/>
        <v>76149.59999999999</v>
      </c>
      <c r="J14" s="71">
        <f t="shared" si="6"/>
        <v>100556.4</v>
      </c>
      <c r="K14" s="71">
        <f t="shared" si="6"/>
        <v>136493.8</v>
      </c>
      <c r="L14" s="71">
        <f t="shared" si="6"/>
        <v>182510.30000000002</v>
      </c>
      <c r="M14" s="71">
        <f t="shared" si="6"/>
        <v>210388.58</v>
      </c>
      <c r="N14" s="71">
        <f t="shared" si="6"/>
        <v>226841.9</v>
      </c>
      <c r="O14" s="71">
        <f t="shared" si="6"/>
        <v>252179.8</v>
      </c>
      <c r="P14" s="71">
        <f t="shared" si="6"/>
        <v>280763.8</v>
      </c>
      <c r="Q14" s="71">
        <f t="shared" si="6"/>
        <v>299142.60000000003</v>
      </c>
      <c r="R14" s="71">
        <f t="shared" si="6"/>
        <v>323039.3</v>
      </c>
      <c r="S14" s="71">
        <f t="shared" si="6"/>
        <v>353015.9</v>
      </c>
      <c r="T14" s="74">
        <f t="shared" si="6"/>
        <v>384965</v>
      </c>
      <c r="U14" s="286">
        <f t="shared" si="6"/>
        <v>432481.47000000003</v>
      </c>
      <c r="V14" s="286">
        <f t="shared" si="6"/>
        <v>443714.6</v>
      </c>
      <c r="W14" s="295">
        <f t="shared" si="6"/>
        <v>450939.39999999997</v>
      </c>
      <c r="X14" s="295">
        <f>X15+X16+X17+X18+X19+X20+X21+X22</f>
        <v>462847.7</v>
      </c>
      <c r="Y14" s="295">
        <f>Y15+Y16+Y17+Y18+Y19+Y20+Y21+Y22</f>
        <v>473992</v>
      </c>
    </row>
    <row r="15" spans="1:25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4">
        <v>10793.4</v>
      </c>
      <c r="Q15" s="274">
        <v>9176.1</v>
      </c>
      <c r="R15" s="274">
        <v>11988.5</v>
      </c>
      <c r="S15" s="274">
        <v>8428.6</v>
      </c>
      <c r="T15" s="64">
        <v>3997</v>
      </c>
      <c r="U15" s="288">
        <v>1660.4</v>
      </c>
      <c r="V15" s="288">
        <v>1959.6</v>
      </c>
      <c r="W15" s="297">
        <v>2386.1</v>
      </c>
      <c r="X15" s="297">
        <v>2708.5</v>
      </c>
      <c r="Y15" s="297">
        <v>3047.9</v>
      </c>
    </row>
    <row r="16" spans="1:25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4">
        <v>0</v>
      </c>
      <c r="Q16" s="274">
        <v>0</v>
      </c>
      <c r="R16" s="274">
        <v>0</v>
      </c>
      <c r="S16" s="274">
        <v>0</v>
      </c>
      <c r="T16" s="64">
        <v>0</v>
      </c>
      <c r="U16" s="288">
        <v>0</v>
      </c>
      <c r="V16" s="288">
        <v>0</v>
      </c>
      <c r="W16" s="297">
        <v>0</v>
      </c>
      <c r="X16" s="297">
        <v>3501.5</v>
      </c>
      <c r="Y16" s="297">
        <v>8780</v>
      </c>
    </row>
    <row r="17" spans="1:25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4">
        <v>102920.4</v>
      </c>
      <c r="Q17" s="274">
        <v>109073.3</v>
      </c>
      <c r="R17" s="274">
        <v>116630</v>
      </c>
      <c r="S17" s="274">
        <v>131343.1</v>
      </c>
      <c r="T17" s="64">
        <v>158393.7</v>
      </c>
      <c r="U17" s="288">
        <v>182760.1</v>
      </c>
      <c r="V17" s="288">
        <v>188031.3</v>
      </c>
      <c r="W17" s="297">
        <v>185669.9</v>
      </c>
      <c r="X17" s="297">
        <v>190548.6</v>
      </c>
      <c r="Y17" s="297">
        <v>186663.6</v>
      </c>
    </row>
    <row r="18" spans="1:25" ht="28.5" customHeight="1">
      <c r="A18" s="281" t="s">
        <v>68</v>
      </c>
      <c r="B18" s="77"/>
      <c r="C18" s="54"/>
      <c r="D18" s="55"/>
      <c r="E18" s="56"/>
      <c r="F18" s="57"/>
      <c r="G18" s="58"/>
      <c r="H18" s="57"/>
      <c r="I18" s="57"/>
      <c r="J18" s="58"/>
      <c r="K18" s="58"/>
      <c r="L18" s="59"/>
      <c r="M18" s="60"/>
      <c r="N18" s="60"/>
      <c r="O18" s="60"/>
      <c r="P18" s="274"/>
      <c r="Q18" s="274"/>
      <c r="R18" s="274"/>
      <c r="S18" s="274"/>
      <c r="T18" s="64"/>
      <c r="U18" s="288">
        <v>5240.5</v>
      </c>
      <c r="V18" s="288">
        <v>5240.5</v>
      </c>
      <c r="W18" s="297">
        <v>5253</v>
      </c>
      <c r="X18" s="297">
        <v>5105.8</v>
      </c>
      <c r="Y18" s="297">
        <v>5021.9</v>
      </c>
    </row>
    <row r="19" spans="1:25" ht="19.5" customHeight="1">
      <c r="A19" s="190" t="s">
        <v>15</v>
      </c>
      <c r="B19" s="77">
        <v>1521.8</v>
      </c>
      <c r="C19" s="54">
        <v>3782.9</v>
      </c>
      <c r="D19" s="55">
        <v>6110.8</v>
      </c>
      <c r="E19" s="56">
        <v>10073.7</v>
      </c>
      <c r="F19" s="57">
        <v>9717.4</v>
      </c>
      <c r="G19" s="58">
        <v>7354.2</v>
      </c>
      <c r="H19" s="57">
        <v>6763.4</v>
      </c>
      <c r="I19" s="57">
        <v>7220.4</v>
      </c>
      <c r="J19" s="58">
        <v>8569.9</v>
      </c>
      <c r="K19" s="58">
        <v>9093.6</v>
      </c>
      <c r="L19" s="59">
        <v>10497.8</v>
      </c>
      <c r="M19" s="60">
        <v>17062.84</v>
      </c>
      <c r="N19" s="60">
        <v>31912.3</v>
      </c>
      <c r="O19" s="60">
        <v>45841.9</v>
      </c>
      <c r="P19" s="274">
        <v>67140.9</v>
      </c>
      <c r="Q19" s="274">
        <v>74749.9</v>
      </c>
      <c r="R19" s="274">
        <v>83778.3</v>
      </c>
      <c r="S19" s="274">
        <v>95766.3</v>
      </c>
      <c r="T19" s="64">
        <v>111320.4</v>
      </c>
      <c r="U19" s="288">
        <v>131382.57</v>
      </c>
      <c r="V19" s="288">
        <v>146157.7</v>
      </c>
      <c r="W19" s="297">
        <v>147206.3</v>
      </c>
      <c r="X19" s="297">
        <v>147774.2</v>
      </c>
      <c r="Y19" s="297">
        <v>148558.4</v>
      </c>
    </row>
    <row r="20" spans="1:25" ht="19.5" customHeight="1">
      <c r="A20" s="189" t="s">
        <v>16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268.6</v>
      </c>
      <c r="J20" s="58">
        <v>243.5</v>
      </c>
      <c r="K20" s="58">
        <v>79.2</v>
      </c>
      <c r="L20" s="59">
        <v>63</v>
      </c>
      <c r="M20" s="60">
        <v>8.34</v>
      </c>
      <c r="N20" s="60">
        <v>0</v>
      </c>
      <c r="O20" s="60">
        <v>0</v>
      </c>
      <c r="P20" s="274">
        <v>0</v>
      </c>
      <c r="Q20" s="274">
        <v>0</v>
      </c>
      <c r="R20" s="274">
        <v>0</v>
      </c>
      <c r="S20" s="274">
        <v>0</v>
      </c>
      <c r="T20" s="64">
        <v>0</v>
      </c>
      <c r="U20" s="288">
        <v>0</v>
      </c>
      <c r="V20" s="288">
        <v>0</v>
      </c>
      <c r="W20" s="297">
        <v>0</v>
      </c>
      <c r="X20" s="297">
        <v>0</v>
      </c>
      <c r="Y20" s="297">
        <v>0</v>
      </c>
    </row>
    <row r="21" spans="1:25" ht="18.75" customHeight="1">
      <c r="A21" s="187" t="s">
        <v>17</v>
      </c>
      <c r="B21" s="77">
        <v>16393.5</v>
      </c>
      <c r="C21" s="78">
        <v>20870.7</v>
      </c>
      <c r="D21" s="77">
        <v>26885.4</v>
      </c>
      <c r="E21" s="78">
        <v>30348.6</v>
      </c>
      <c r="F21" s="78">
        <v>33278.2</v>
      </c>
      <c r="G21" s="78">
        <v>35162.1</v>
      </c>
      <c r="H21" s="78">
        <v>29042</v>
      </c>
      <c r="I21" s="78">
        <v>29853</v>
      </c>
      <c r="J21" s="78">
        <v>32710.7</v>
      </c>
      <c r="K21" s="78">
        <v>52608.2</v>
      </c>
      <c r="L21" s="59">
        <v>73832.2</v>
      </c>
      <c r="M21" s="60">
        <v>75418.5</v>
      </c>
      <c r="N21" s="60">
        <v>78572.3</v>
      </c>
      <c r="O21" s="60">
        <v>78746.4</v>
      </c>
      <c r="P21" s="274">
        <v>74989.5</v>
      </c>
      <c r="Q21" s="274">
        <v>70624.1</v>
      </c>
      <c r="R21" s="274">
        <v>69011.2</v>
      </c>
      <c r="S21" s="274">
        <v>65043.5</v>
      </c>
      <c r="T21" s="64">
        <v>57407</v>
      </c>
      <c r="U21" s="288">
        <v>52084.5</v>
      </c>
      <c r="V21" s="288">
        <v>52074.6</v>
      </c>
      <c r="W21" s="297">
        <v>53111.5</v>
      </c>
      <c r="X21" s="297">
        <v>54141.4</v>
      </c>
      <c r="Y21" s="297">
        <v>54199.8</v>
      </c>
    </row>
    <row r="22" spans="1:25" s="3" customFormat="1" ht="19.5" customHeight="1">
      <c r="A22" s="191" t="s">
        <v>18</v>
      </c>
      <c r="B22" s="92">
        <v>1384</v>
      </c>
      <c r="C22" s="93">
        <v>1641.8</v>
      </c>
      <c r="D22" s="94">
        <v>2171.4</v>
      </c>
      <c r="E22" s="95">
        <v>3613.8</v>
      </c>
      <c r="F22" s="96">
        <v>3629.5</v>
      </c>
      <c r="G22" s="97">
        <v>8044.6</v>
      </c>
      <c r="H22" s="96">
        <v>19839.2</v>
      </c>
      <c r="I22" s="96">
        <v>29407.8</v>
      </c>
      <c r="J22" s="58">
        <v>39594.7</v>
      </c>
      <c r="K22" s="58">
        <v>28134.4</v>
      </c>
      <c r="L22" s="59">
        <v>31436.7</v>
      </c>
      <c r="M22" s="81">
        <v>31845.1</v>
      </c>
      <c r="N22" s="81">
        <v>16165.6</v>
      </c>
      <c r="O22" s="81">
        <v>19155.8</v>
      </c>
      <c r="P22" s="274">
        <v>24919.6</v>
      </c>
      <c r="Q22" s="274">
        <v>35519.2</v>
      </c>
      <c r="R22" s="274">
        <v>41631.3</v>
      </c>
      <c r="S22" s="274">
        <v>52434.4</v>
      </c>
      <c r="T22" s="64">
        <v>53846.9</v>
      </c>
      <c r="U22" s="288">
        <v>59353.4</v>
      </c>
      <c r="V22" s="288">
        <v>50250.9</v>
      </c>
      <c r="W22" s="297">
        <v>57312.6</v>
      </c>
      <c r="X22" s="297">
        <v>59067.7</v>
      </c>
      <c r="Y22" s="297">
        <v>67720.4</v>
      </c>
    </row>
    <row r="23" spans="1:25" ht="16.5" customHeight="1">
      <c r="A23" s="188" t="s">
        <v>19</v>
      </c>
      <c r="B23" s="98">
        <f>SUM(B24:B39)</f>
        <v>25285.539999999997</v>
      </c>
      <c r="C23" s="98">
        <f aca="true" t="shared" si="7" ref="C23:W23">SUM(C24:C39)</f>
        <v>33776.359149</v>
      </c>
      <c r="D23" s="98">
        <f t="shared" si="7"/>
        <v>43793.793999999994</v>
      </c>
      <c r="E23" s="98">
        <f t="shared" si="7"/>
        <v>51136.57999999999</v>
      </c>
      <c r="F23" s="98">
        <f t="shared" si="7"/>
        <v>55147.34</v>
      </c>
      <c r="G23" s="98">
        <f t="shared" si="7"/>
        <v>56381.83</v>
      </c>
      <c r="H23" s="98">
        <f t="shared" si="7"/>
        <v>59868.54558</v>
      </c>
      <c r="I23" s="98">
        <f t="shared" si="7"/>
        <v>76149.63</v>
      </c>
      <c r="J23" s="98">
        <f t="shared" si="7"/>
        <v>100556.44</v>
      </c>
      <c r="K23" s="98">
        <f t="shared" si="7"/>
        <v>136493.84000000003</v>
      </c>
      <c r="L23" s="98">
        <f t="shared" si="7"/>
        <v>182510.28999999998</v>
      </c>
      <c r="M23" s="98">
        <f t="shared" si="7"/>
        <v>210388.63039999997</v>
      </c>
      <c r="N23" s="98">
        <f t="shared" si="7"/>
        <v>226841.9</v>
      </c>
      <c r="O23" s="98">
        <f t="shared" si="7"/>
        <v>252179.80000000002</v>
      </c>
      <c r="P23" s="98">
        <f t="shared" si="7"/>
        <v>280763.8</v>
      </c>
      <c r="Q23" s="98">
        <f t="shared" si="7"/>
        <v>299142.6</v>
      </c>
      <c r="R23" s="98">
        <f t="shared" si="7"/>
        <v>323039.3</v>
      </c>
      <c r="S23" s="98">
        <f t="shared" si="7"/>
        <v>353015.85000000003</v>
      </c>
      <c r="T23" s="101">
        <f t="shared" si="7"/>
        <v>384965</v>
      </c>
      <c r="U23" s="289">
        <f t="shared" si="7"/>
        <v>432481.5</v>
      </c>
      <c r="V23" s="289">
        <f t="shared" si="7"/>
        <v>443714.6</v>
      </c>
      <c r="W23" s="298">
        <f t="shared" si="7"/>
        <v>450939.3999999999</v>
      </c>
      <c r="X23" s="298">
        <f>SUM(X24:X39)</f>
        <v>462847.69999999995</v>
      </c>
      <c r="Y23" s="298">
        <f>SUM(Y24:Y39)</f>
        <v>473992.00000000006</v>
      </c>
    </row>
    <row r="24" spans="1:25" ht="16.5" customHeight="1">
      <c r="A24" s="190" t="s">
        <v>20</v>
      </c>
      <c r="B24" s="55">
        <v>6422.7</v>
      </c>
      <c r="C24" s="58">
        <v>7781.8</v>
      </c>
      <c r="D24" s="55">
        <v>9233.6</v>
      </c>
      <c r="E24" s="56">
        <v>9245.2</v>
      </c>
      <c r="F24" s="57">
        <v>11180.2</v>
      </c>
      <c r="G24" s="58">
        <v>12908</v>
      </c>
      <c r="H24" s="57">
        <v>24461.8</v>
      </c>
      <c r="I24" s="57">
        <v>40500.2</v>
      </c>
      <c r="J24" s="58">
        <v>60024.77</v>
      </c>
      <c r="K24" s="58">
        <v>64302</v>
      </c>
      <c r="L24" s="68">
        <v>82628.67</v>
      </c>
      <c r="M24" s="64">
        <v>101241.2</v>
      </c>
      <c r="N24" s="60">
        <v>99439.1</v>
      </c>
      <c r="O24" s="60">
        <v>111762.1</v>
      </c>
      <c r="P24" s="273">
        <v>126434.7</v>
      </c>
      <c r="Q24" s="273">
        <v>148073.45</v>
      </c>
      <c r="R24" s="273">
        <v>170139.4</v>
      </c>
      <c r="S24" s="273">
        <v>192055</v>
      </c>
      <c r="T24" s="105">
        <v>214671.6</v>
      </c>
      <c r="U24" s="290">
        <v>245191.6</v>
      </c>
      <c r="V24" s="290">
        <v>241699.9</v>
      </c>
      <c r="W24" s="299">
        <v>246701.9</v>
      </c>
      <c r="X24" s="299">
        <v>257042.9</v>
      </c>
      <c r="Y24" s="299">
        <v>267379</v>
      </c>
    </row>
    <row r="25" spans="1:25" ht="16.5" customHeight="1">
      <c r="A25" s="190" t="s">
        <v>21</v>
      </c>
      <c r="B25" s="53">
        <v>10945.199999999999</v>
      </c>
      <c r="C25" s="54">
        <v>14103.4</v>
      </c>
      <c r="D25" s="55">
        <v>17178.64</v>
      </c>
      <c r="E25" s="56">
        <v>16275.41</v>
      </c>
      <c r="F25" s="57">
        <v>17144.75</v>
      </c>
      <c r="G25" s="58">
        <v>17327.19</v>
      </c>
      <c r="H25" s="57">
        <v>10736.189999999999</v>
      </c>
      <c r="I25" s="57">
        <v>9307.41</v>
      </c>
      <c r="J25" s="58">
        <v>9227.51</v>
      </c>
      <c r="K25" s="58">
        <v>8629.06</v>
      </c>
      <c r="L25" s="60">
        <v>8458.15</v>
      </c>
      <c r="M25" s="64">
        <v>6091.65</v>
      </c>
      <c r="N25" s="60">
        <v>12661.8</v>
      </c>
      <c r="O25" s="60">
        <v>16269.2</v>
      </c>
      <c r="P25" s="274">
        <v>24796.2</v>
      </c>
      <c r="Q25" s="274">
        <v>26858.85</v>
      </c>
      <c r="R25" s="274">
        <v>26930.6</v>
      </c>
      <c r="S25" s="274">
        <v>23667.6</v>
      </c>
      <c r="T25" s="64">
        <v>28225.3</v>
      </c>
      <c r="U25" s="288">
        <v>29134.4</v>
      </c>
      <c r="V25" s="288">
        <v>29613.6</v>
      </c>
      <c r="W25" s="297">
        <v>29770.9</v>
      </c>
      <c r="X25" s="297">
        <v>30020.1</v>
      </c>
      <c r="Y25" s="297">
        <v>30351.7</v>
      </c>
    </row>
    <row r="26" spans="1:25" ht="16.5" customHeight="1">
      <c r="A26" s="190" t="s">
        <v>22</v>
      </c>
      <c r="B26" s="53">
        <v>1832.35</v>
      </c>
      <c r="C26" s="54">
        <v>657.13</v>
      </c>
      <c r="D26" s="55">
        <v>0</v>
      </c>
      <c r="E26" s="56">
        <v>0</v>
      </c>
      <c r="F26" s="57">
        <v>0</v>
      </c>
      <c r="G26" s="58">
        <v>0</v>
      </c>
      <c r="H26" s="57">
        <v>0</v>
      </c>
      <c r="I26" s="57">
        <v>0</v>
      </c>
      <c r="J26" s="58">
        <v>0</v>
      </c>
      <c r="K26" s="58">
        <v>0</v>
      </c>
      <c r="L26" s="60">
        <v>0</v>
      </c>
      <c r="M26" s="64">
        <v>0</v>
      </c>
      <c r="N26" s="60">
        <v>0</v>
      </c>
      <c r="O26" s="60">
        <v>0</v>
      </c>
      <c r="P26" s="274">
        <v>0</v>
      </c>
      <c r="Q26" s="274">
        <v>0</v>
      </c>
      <c r="R26" s="274">
        <v>0</v>
      </c>
      <c r="S26" s="274">
        <v>0</v>
      </c>
      <c r="T26" s="64">
        <v>0</v>
      </c>
      <c r="U26" s="288">
        <v>0</v>
      </c>
      <c r="V26" s="288">
        <v>0</v>
      </c>
      <c r="W26" s="297">
        <v>0</v>
      </c>
      <c r="X26" s="297">
        <v>0</v>
      </c>
      <c r="Y26" s="297">
        <v>0</v>
      </c>
    </row>
    <row r="27" spans="1:25" ht="16.5" customHeight="1">
      <c r="A27" s="190" t="s">
        <v>23</v>
      </c>
      <c r="B27" s="53">
        <v>2703</v>
      </c>
      <c r="C27" s="54">
        <v>8179.08</v>
      </c>
      <c r="D27" s="55">
        <v>14667.8</v>
      </c>
      <c r="E27" s="56">
        <v>21422.199999999997</v>
      </c>
      <c r="F27" s="57">
        <v>22851.559999999998</v>
      </c>
      <c r="G27" s="58">
        <v>21975.58</v>
      </c>
      <c r="H27" s="57">
        <v>21329.28</v>
      </c>
      <c r="I27" s="57">
        <v>23358.81</v>
      </c>
      <c r="J27" s="58">
        <v>28102.75</v>
      </c>
      <c r="K27" s="58">
        <v>56646.100000000006</v>
      </c>
      <c r="L27" s="60">
        <v>78118.8</v>
      </c>
      <c r="M27" s="64">
        <v>89349.75</v>
      </c>
      <c r="N27" s="60">
        <v>101873.7</v>
      </c>
      <c r="O27" s="60">
        <v>116459.1</v>
      </c>
      <c r="P27" s="274">
        <v>126304.5</v>
      </c>
      <c r="Q27" s="274">
        <v>121707.9</v>
      </c>
      <c r="R27" s="274">
        <v>123498.2</v>
      </c>
      <c r="S27" s="274">
        <v>135165.7</v>
      </c>
      <c r="T27" s="64">
        <v>140026.4</v>
      </c>
      <c r="U27" s="288">
        <v>156179.1</v>
      </c>
      <c r="V27" s="288">
        <v>170401.1</v>
      </c>
      <c r="W27" s="297">
        <v>172469.9</v>
      </c>
      <c r="X27" s="297">
        <v>173819.1</v>
      </c>
      <c r="Y27" s="297">
        <v>174224.1</v>
      </c>
    </row>
    <row r="28" spans="1:25" ht="16.5" customHeight="1">
      <c r="A28" s="190" t="s">
        <v>24</v>
      </c>
      <c r="B28" s="53">
        <v>1150.4</v>
      </c>
      <c r="C28" s="54">
        <v>1221.05</v>
      </c>
      <c r="D28" s="55">
        <v>1425.81</v>
      </c>
      <c r="E28" s="56">
        <v>1951.5</v>
      </c>
      <c r="F28" s="57">
        <v>1287.6</v>
      </c>
      <c r="G28" s="58">
        <v>810.9</v>
      </c>
      <c r="H28" s="57">
        <v>331.5</v>
      </c>
      <c r="I28" s="57">
        <v>35.43</v>
      </c>
      <c r="J28" s="58">
        <v>20.46</v>
      </c>
      <c r="K28" s="58">
        <v>3984.67</v>
      </c>
      <c r="L28" s="60">
        <v>9645.9</v>
      </c>
      <c r="M28" s="64">
        <v>9977</v>
      </c>
      <c r="N28" s="60">
        <v>9522.3</v>
      </c>
      <c r="O28" s="60">
        <v>5047.7</v>
      </c>
      <c r="P28" s="274">
        <v>743.6</v>
      </c>
      <c r="Q28" s="274">
        <v>14.3</v>
      </c>
      <c r="R28" s="274">
        <v>9.6</v>
      </c>
      <c r="S28" s="274">
        <v>0</v>
      </c>
      <c r="T28" s="64">
        <v>0</v>
      </c>
      <c r="U28" s="288">
        <v>0</v>
      </c>
      <c r="V28" s="288">
        <v>0</v>
      </c>
      <c r="W28" s="297">
        <v>0</v>
      </c>
      <c r="X28" s="297">
        <v>0</v>
      </c>
      <c r="Y28" s="297">
        <v>0</v>
      </c>
    </row>
    <row r="29" spans="1:25" ht="16.5" customHeight="1">
      <c r="A29" s="190" t="s">
        <v>25</v>
      </c>
      <c r="B29" s="53">
        <v>244.87</v>
      </c>
      <c r="C29" s="54">
        <v>465.187</v>
      </c>
      <c r="D29" s="55">
        <v>591.5</v>
      </c>
      <c r="E29" s="56">
        <v>598.46</v>
      </c>
      <c r="F29" s="57">
        <v>551.4</v>
      </c>
      <c r="G29" s="58">
        <v>469.29999999999995</v>
      </c>
      <c r="H29" s="57">
        <v>362.13</v>
      </c>
      <c r="I29" s="57">
        <v>327.35</v>
      </c>
      <c r="J29" s="58">
        <v>306.78</v>
      </c>
      <c r="K29" s="58">
        <v>235.54000000000002</v>
      </c>
      <c r="L29" s="60">
        <v>180.01</v>
      </c>
      <c r="M29" s="64">
        <v>138.2304</v>
      </c>
      <c r="N29" s="60">
        <v>101.2</v>
      </c>
      <c r="O29" s="60">
        <v>82.3</v>
      </c>
      <c r="P29" s="274">
        <v>65</v>
      </c>
      <c r="Q29" s="274">
        <v>51.9</v>
      </c>
      <c r="R29" s="274">
        <v>31</v>
      </c>
      <c r="S29" s="274">
        <v>17.7</v>
      </c>
      <c r="T29" s="64">
        <v>6.2</v>
      </c>
      <c r="U29" s="288">
        <v>0</v>
      </c>
      <c r="V29" s="288">
        <v>0</v>
      </c>
      <c r="W29" s="297">
        <v>0</v>
      </c>
      <c r="X29" s="297">
        <v>0</v>
      </c>
      <c r="Y29" s="297">
        <v>0</v>
      </c>
    </row>
    <row r="30" spans="1:25" ht="16.5" customHeight="1">
      <c r="A30" s="190" t="s">
        <v>26</v>
      </c>
      <c r="B30" s="53">
        <v>531.61</v>
      </c>
      <c r="C30" s="54">
        <v>423.86</v>
      </c>
      <c r="D30" s="55">
        <v>0</v>
      </c>
      <c r="E30" s="56">
        <v>0</v>
      </c>
      <c r="F30" s="57">
        <v>0</v>
      </c>
      <c r="G30" s="58">
        <v>0</v>
      </c>
      <c r="H30" s="57">
        <v>0</v>
      </c>
      <c r="I30" s="57">
        <v>0</v>
      </c>
      <c r="J30" s="58">
        <v>0</v>
      </c>
      <c r="K30" s="58">
        <v>0</v>
      </c>
      <c r="L30" s="60">
        <v>0</v>
      </c>
      <c r="M30" s="64">
        <v>0</v>
      </c>
      <c r="N30" s="60">
        <v>0</v>
      </c>
      <c r="O30" s="60">
        <v>0</v>
      </c>
      <c r="P30" s="274">
        <v>0</v>
      </c>
      <c r="Q30" s="274">
        <v>0</v>
      </c>
      <c r="R30" s="274">
        <v>0</v>
      </c>
      <c r="S30" s="274">
        <v>0</v>
      </c>
      <c r="T30" s="64">
        <v>0</v>
      </c>
      <c r="U30" s="288">
        <v>0</v>
      </c>
      <c r="V30" s="288">
        <v>0</v>
      </c>
      <c r="W30" s="297">
        <v>0</v>
      </c>
      <c r="X30" s="297">
        <v>0</v>
      </c>
      <c r="Y30" s="297">
        <v>0</v>
      </c>
    </row>
    <row r="31" spans="1:25" ht="16.5" customHeight="1">
      <c r="A31" s="190" t="s">
        <v>27</v>
      </c>
      <c r="B31" s="53">
        <v>0</v>
      </c>
      <c r="C31" s="54">
        <v>0</v>
      </c>
      <c r="D31" s="55">
        <v>0</v>
      </c>
      <c r="E31" s="56">
        <v>415.34</v>
      </c>
      <c r="F31" s="57">
        <v>562.8</v>
      </c>
      <c r="G31" s="58">
        <v>844.25</v>
      </c>
      <c r="H31" s="57">
        <v>802.81558</v>
      </c>
      <c r="I31" s="57">
        <v>887.3</v>
      </c>
      <c r="J31" s="58">
        <v>714.93</v>
      </c>
      <c r="K31" s="58">
        <v>623.19</v>
      </c>
      <c r="L31" s="60">
        <v>806.8</v>
      </c>
      <c r="M31" s="64">
        <v>750.8</v>
      </c>
      <c r="N31" s="60">
        <v>700.4</v>
      </c>
      <c r="O31" s="60">
        <v>567.9</v>
      </c>
      <c r="P31" s="274">
        <v>521.8</v>
      </c>
      <c r="Q31" s="274">
        <v>424.1</v>
      </c>
      <c r="R31" s="274">
        <v>383.6</v>
      </c>
      <c r="S31" s="274">
        <v>305.3</v>
      </c>
      <c r="T31" s="64">
        <v>229</v>
      </c>
      <c r="U31" s="288">
        <v>178.7</v>
      </c>
      <c r="V31" s="288">
        <v>178.7</v>
      </c>
      <c r="W31" s="297">
        <v>177.1</v>
      </c>
      <c r="X31" s="297">
        <v>168.8</v>
      </c>
      <c r="Y31" s="297">
        <v>175.4</v>
      </c>
    </row>
    <row r="32" spans="1:25" ht="14.25">
      <c r="A32" s="190" t="s">
        <v>28</v>
      </c>
      <c r="B32" s="53">
        <v>112.24</v>
      </c>
      <c r="C32" s="54">
        <v>97.3</v>
      </c>
      <c r="D32" s="55">
        <v>0</v>
      </c>
      <c r="E32" s="56">
        <v>0</v>
      </c>
      <c r="F32" s="57">
        <v>0</v>
      </c>
      <c r="G32" s="58">
        <v>0</v>
      </c>
      <c r="H32" s="57">
        <v>0</v>
      </c>
      <c r="I32" s="57">
        <v>0</v>
      </c>
      <c r="J32" s="58">
        <v>0</v>
      </c>
      <c r="K32" s="58">
        <v>0</v>
      </c>
      <c r="L32" s="60">
        <v>0</v>
      </c>
      <c r="M32" s="64">
        <v>0</v>
      </c>
      <c r="N32" s="60">
        <v>0</v>
      </c>
      <c r="O32" s="60">
        <v>0</v>
      </c>
      <c r="P32" s="274">
        <v>0</v>
      </c>
      <c r="Q32" s="274">
        <v>0</v>
      </c>
      <c r="R32" s="274">
        <v>0</v>
      </c>
      <c r="S32" s="274">
        <v>0</v>
      </c>
      <c r="T32" s="64">
        <v>0</v>
      </c>
      <c r="U32" s="288">
        <v>0</v>
      </c>
      <c r="V32" s="288">
        <v>0</v>
      </c>
      <c r="W32" s="297">
        <v>0</v>
      </c>
      <c r="X32" s="297">
        <v>0</v>
      </c>
      <c r="Y32" s="297">
        <v>0</v>
      </c>
    </row>
    <row r="33" spans="1:25" ht="16.5" customHeight="1">
      <c r="A33" s="190" t="s">
        <v>29</v>
      </c>
      <c r="B33" s="53">
        <v>959.3</v>
      </c>
      <c r="C33" s="54">
        <v>383.09</v>
      </c>
      <c r="D33" s="55">
        <v>502.33000000000004</v>
      </c>
      <c r="E33" s="56">
        <v>869.77</v>
      </c>
      <c r="F33" s="57">
        <v>987.6199999999999</v>
      </c>
      <c r="G33" s="58">
        <v>1309.27</v>
      </c>
      <c r="H33" s="57">
        <v>1279.96</v>
      </c>
      <c r="I33" s="57">
        <v>1310.51</v>
      </c>
      <c r="J33" s="58">
        <v>1913.98</v>
      </c>
      <c r="K33" s="58">
        <v>1904.8700000000001</v>
      </c>
      <c r="L33" s="60">
        <v>2542.56</v>
      </c>
      <c r="M33" s="64">
        <v>2840</v>
      </c>
      <c r="N33" s="60">
        <v>2543.4</v>
      </c>
      <c r="O33" s="60">
        <v>1991.5</v>
      </c>
      <c r="P33" s="274">
        <v>1898</v>
      </c>
      <c r="Q33" s="274">
        <v>2012.1</v>
      </c>
      <c r="R33" s="274">
        <v>2046.9</v>
      </c>
      <c r="S33" s="274">
        <v>1804.55</v>
      </c>
      <c r="T33" s="64">
        <v>1806.5</v>
      </c>
      <c r="U33" s="288">
        <v>1797.7</v>
      </c>
      <c r="V33" s="288">
        <v>1821.3</v>
      </c>
      <c r="W33" s="297">
        <v>1819.6</v>
      </c>
      <c r="X33" s="297">
        <v>1796.8</v>
      </c>
      <c r="Y33" s="297">
        <v>1861.8</v>
      </c>
    </row>
    <row r="34" spans="1:25" ht="16.5" customHeight="1">
      <c r="A34" s="190" t="s">
        <v>30</v>
      </c>
      <c r="B34" s="53">
        <v>26.6</v>
      </c>
      <c r="C34" s="54">
        <v>25.372391</v>
      </c>
      <c r="D34" s="55">
        <v>0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4">
        <v>0</v>
      </c>
      <c r="Q34" s="274">
        <v>0</v>
      </c>
      <c r="R34" s="274">
        <v>0</v>
      </c>
      <c r="S34" s="274">
        <v>0</v>
      </c>
      <c r="T34" s="64">
        <v>0</v>
      </c>
      <c r="U34" s="288">
        <v>0</v>
      </c>
      <c r="V34" s="288">
        <v>0</v>
      </c>
      <c r="W34" s="297">
        <v>0</v>
      </c>
      <c r="X34" s="297">
        <v>0</v>
      </c>
      <c r="Y34" s="297">
        <v>0</v>
      </c>
    </row>
    <row r="35" spans="1:25" ht="16.5" customHeight="1">
      <c r="A35" s="190" t="s">
        <v>31</v>
      </c>
      <c r="B35" s="53">
        <v>9.7</v>
      </c>
      <c r="C35" s="54">
        <v>6.761758</v>
      </c>
      <c r="D35" s="55">
        <v>2.814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4">
        <v>0</v>
      </c>
      <c r="N35" s="60">
        <v>0</v>
      </c>
      <c r="O35" s="60">
        <v>0</v>
      </c>
      <c r="P35" s="274">
        <v>0</v>
      </c>
      <c r="Q35" s="274">
        <v>0</v>
      </c>
      <c r="R35" s="274">
        <v>0</v>
      </c>
      <c r="S35" s="274">
        <v>0</v>
      </c>
      <c r="T35" s="64">
        <v>0</v>
      </c>
      <c r="U35" s="288">
        <v>0</v>
      </c>
      <c r="V35" s="288">
        <v>0</v>
      </c>
      <c r="W35" s="297">
        <v>0</v>
      </c>
      <c r="X35" s="297">
        <v>0</v>
      </c>
      <c r="Y35" s="297">
        <v>0</v>
      </c>
    </row>
    <row r="36" spans="1:25" ht="16.5" customHeight="1">
      <c r="A36" s="190" t="s">
        <v>32</v>
      </c>
      <c r="B36" s="53">
        <v>125.27000000000001</v>
      </c>
      <c r="C36" s="54">
        <v>144.188</v>
      </c>
      <c r="D36" s="55">
        <v>191.3</v>
      </c>
      <c r="E36" s="56">
        <v>181.2</v>
      </c>
      <c r="F36" s="57">
        <v>179.21</v>
      </c>
      <c r="G36" s="58">
        <v>188.43</v>
      </c>
      <c r="H36" s="57">
        <v>162.19</v>
      </c>
      <c r="I36" s="57">
        <v>153.63</v>
      </c>
      <c r="J36" s="58">
        <v>124.3</v>
      </c>
      <c r="K36" s="58">
        <v>128.46</v>
      </c>
      <c r="L36" s="60">
        <v>129.4</v>
      </c>
      <c r="M36" s="64">
        <v>0</v>
      </c>
      <c r="N36" s="60">
        <v>0</v>
      </c>
      <c r="O36" s="60">
        <v>0</v>
      </c>
      <c r="P36" s="274">
        <v>0</v>
      </c>
      <c r="Q36" s="274">
        <v>0</v>
      </c>
      <c r="R36" s="274">
        <v>0</v>
      </c>
      <c r="S36" s="274">
        <v>0</v>
      </c>
      <c r="T36" s="64">
        <v>0</v>
      </c>
      <c r="U36" s="288">
        <v>0</v>
      </c>
      <c r="V36" s="288">
        <v>0</v>
      </c>
      <c r="W36" s="297">
        <v>0</v>
      </c>
      <c r="X36" s="297">
        <v>0</v>
      </c>
      <c r="Y36" s="297">
        <v>0</v>
      </c>
    </row>
    <row r="37" spans="1:25" ht="16.5" customHeight="1">
      <c r="A37" s="190" t="s">
        <v>33</v>
      </c>
      <c r="B37" s="53">
        <v>219.60000000000002</v>
      </c>
      <c r="C37" s="54">
        <v>287.09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4">
        <v>0</v>
      </c>
      <c r="N37" s="60">
        <v>0</v>
      </c>
      <c r="O37" s="60">
        <v>0</v>
      </c>
      <c r="P37" s="274">
        <v>0</v>
      </c>
      <c r="Q37" s="274">
        <v>0</v>
      </c>
      <c r="R37" s="274">
        <v>0</v>
      </c>
      <c r="S37" s="274">
        <v>0</v>
      </c>
      <c r="T37" s="64">
        <v>0</v>
      </c>
      <c r="U37" s="288">
        <v>0</v>
      </c>
      <c r="V37" s="288">
        <v>0</v>
      </c>
      <c r="W37" s="297">
        <v>0</v>
      </c>
      <c r="X37" s="297">
        <v>0</v>
      </c>
      <c r="Y37" s="297">
        <v>0</v>
      </c>
    </row>
    <row r="38" spans="1:25" ht="16.5" customHeight="1">
      <c r="A38" s="190" t="s">
        <v>34</v>
      </c>
      <c r="B38" s="53">
        <v>2.7</v>
      </c>
      <c r="C38" s="54">
        <v>1.05</v>
      </c>
      <c r="D38" s="55">
        <v>0</v>
      </c>
      <c r="E38" s="56">
        <v>177.5</v>
      </c>
      <c r="F38" s="57">
        <v>402.18</v>
      </c>
      <c r="G38" s="58">
        <v>548.81</v>
      </c>
      <c r="H38" s="57">
        <v>402.66</v>
      </c>
      <c r="I38" s="57">
        <v>268.99</v>
      </c>
      <c r="J38" s="58">
        <v>120.96</v>
      </c>
      <c r="K38" s="58">
        <v>39.95</v>
      </c>
      <c r="L38" s="60">
        <v>0</v>
      </c>
      <c r="M38" s="64">
        <v>0</v>
      </c>
      <c r="N38" s="60">
        <v>0</v>
      </c>
      <c r="O38" s="60">
        <v>0</v>
      </c>
      <c r="P38" s="274">
        <v>0</v>
      </c>
      <c r="Q38" s="274">
        <v>0</v>
      </c>
      <c r="R38" s="274">
        <v>0</v>
      </c>
      <c r="S38" s="274">
        <v>0</v>
      </c>
      <c r="T38" s="64">
        <v>0</v>
      </c>
      <c r="U38" s="288">
        <v>0</v>
      </c>
      <c r="V38" s="288">
        <v>0</v>
      </c>
      <c r="W38" s="297">
        <v>0</v>
      </c>
      <c r="X38" s="297">
        <v>0</v>
      </c>
      <c r="Y38" s="297">
        <v>0</v>
      </c>
    </row>
    <row r="39" spans="1:25" ht="16.5" customHeight="1">
      <c r="A39" s="190" t="s">
        <v>35</v>
      </c>
      <c r="B39" s="53">
        <v>0</v>
      </c>
      <c r="C39" s="54">
        <v>0</v>
      </c>
      <c r="D39" s="55">
        <v>0</v>
      </c>
      <c r="E39" s="56">
        <v>0</v>
      </c>
      <c r="F39" s="57">
        <v>0.02</v>
      </c>
      <c r="G39" s="57">
        <v>0.1</v>
      </c>
      <c r="H39" s="57">
        <v>0.02</v>
      </c>
      <c r="I39" s="57">
        <v>0</v>
      </c>
      <c r="J39" s="58">
        <v>0</v>
      </c>
      <c r="K39" s="58">
        <v>0</v>
      </c>
      <c r="L39" s="81">
        <v>0</v>
      </c>
      <c r="M39" s="64">
        <v>0</v>
      </c>
      <c r="N39" s="60">
        <v>0</v>
      </c>
      <c r="O39" s="60">
        <v>0</v>
      </c>
      <c r="P39" s="274">
        <v>0</v>
      </c>
      <c r="Q39" s="274">
        <v>0</v>
      </c>
      <c r="R39" s="274">
        <v>0</v>
      </c>
      <c r="S39" s="274">
        <v>0</v>
      </c>
      <c r="T39" s="64">
        <v>0</v>
      </c>
      <c r="U39" s="288">
        <v>0</v>
      </c>
      <c r="V39" s="288">
        <v>0</v>
      </c>
      <c r="W39" s="297">
        <v>0</v>
      </c>
      <c r="X39" s="297">
        <v>0</v>
      </c>
      <c r="Y39" s="297">
        <v>0</v>
      </c>
    </row>
    <row r="40" spans="1:25" ht="16.5" customHeight="1">
      <c r="A40" s="188" t="s">
        <v>36</v>
      </c>
      <c r="B40" s="98">
        <f>B41+B42+B43</f>
        <v>25285.510000000002</v>
      </c>
      <c r="C40" s="98">
        <f aca="true" t="shared" si="8" ref="C40:W40">C41+C42+C43</f>
        <v>33776.4</v>
      </c>
      <c r="D40" s="98">
        <f t="shared" si="8"/>
        <v>43793.82</v>
      </c>
      <c r="E40" s="98">
        <f t="shared" si="8"/>
        <v>51136.75</v>
      </c>
      <c r="F40" s="98">
        <f t="shared" si="8"/>
        <v>55147.33</v>
      </c>
      <c r="G40" s="98">
        <f t="shared" si="8"/>
        <v>56381.799999999996</v>
      </c>
      <c r="H40" s="98">
        <f t="shared" si="8"/>
        <v>59868.5</v>
      </c>
      <c r="I40" s="98">
        <f t="shared" si="8"/>
        <v>76149.6</v>
      </c>
      <c r="J40" s="98">
        <f t="shared" si="8"/>
        <v>100556.4</v>
      </c>
      <c r="K40" s="98">
        <f t="shared" si="8"/>
        <v>136493.8</v>
      </c>
      <c r="L40" s="98">
        <f t="shared" si="8"/>
        <v>182510.26032</v>
      </c>
      <c r="M40" s="98">
        <f t="shared" si="8"/>
        <v>210388.6</v>
      </c>
      <c r="N40" s="98">
        <f t="shared" si="8"/>
        <v>226841.9</v>
      </c>
      <c r="O40" s="98">
        <f t="shared" si="8"/>
        <v>252179.8</v>
      </c>
      <c r="P40" s="98">
        <f t="shared" si="8"/>
        <v>280763.80000000005</v>
      </c>
      <c r="Q40" s="98">
        <f t="shared" si="8"/>
        <v>299142.6</v>
      </c>
      <c r="R40" s="98">
        <f t="shared" si="8"/>
        <v>323039.30000000005</v>
      </c>
      <c r="S40" s="98">
        <f t="shared" si="8"/>
        <v>353015.9</v>
      </c>
      <c r="T40" s="101">
        <f t="shared" si="8"/>
        <v>384965</v>
      </c>
      <c r="U40" s="289">
        <f t="shared" si="8"/>
        <v>432481.5</v>
      </c>
      <c r="V40" s="289">
        <f t="shared" si="8"/>
        <v>443714.60000000003</v>
      </c>
      <c r="W40" s="298">
        <f t="shared" si="8"/>
        <v>450939.4</v>
      </c>
      <c r="X40" s="298">
        <f>X41+X42+X43</f>
        <v>462847.7</v>
      </c>
      <c r="Y40" s="298">
        <f>Y41+Y42+Y43</f>
        <v>473992</v>
      </c>
    </row>
    <row r="41" spans="1:25" ht="16.5" customHeight="1">
      <c r="A41" s="192" t="s">
        <v>37</v>
      </c>
      <c r="B41" s="55">
        <v>4658.65</v>
      </c>
      <c r="C41" s="58">
        <v>6421.2</v>
      </c>
      <c r="D41" s="55">
        <v>8167.6</v>
      </c>
      <c r="E41" s="56">
        <v>7939.65</v>
      </c>
      <c r="F41" s="57">
        <v>9657.13</v>
      </c>
      <c r="G41" s="58">
        <v>9383.6</v>
      </c>
      <c r="H41" s="57">
        <v>20951.3</v>
      </c>
      <c r="I41" s="57">
        <v>31922.2</v>
      </c>
      <c r="J41" s="58">
        <v>49526.6</v>
      </c>
      <c r="K41" s="58">
        <v>51566.6</v>
      </c>
      <c r="L41" s="68">
        <v>64095.9</v>
      </c>
      <c r="M41" s="64">
        <v>67788.9</v>
      </c>
      <c r="N41" s="68">
        <v>43428.3</v>
      </c>
      <c r="O41" s="68">
        <v>29453.9</v>
      </c>
      <c r="P41" s="274">
        <v>35713</v>
      </c>
      <c r="Q41" s="274">
        <v>44695.3</v>
      </c>
      <c r="R41" s="274">
        <v>53619.9</v>
      </c>
      <c r="S41" s="274">
        <v>60863</v>
      </c>
      <c r="T41" s="64">
        <v>57843.9</v>
      </c>
      <c r="U41" s="288">
        <v>61013.9</v>
      </c>
      <c r="V41" s="288">
        <v>52210.5</v>
      </c>
      <c r="W41" s="297">
        <v>59698.7</v>
      </c>
      <c r="X41" s="297">
        <v>65277.7</v>
      </c>
      <c r="Y41" s="297">
        <v>79548.3</v>
      </c>
    </row>
    <row r="42" spans="1:25" ht="16.5" customHeight="1">
      <c r="A42" s="192" t="s">
        <v>38</v>
      </c>
      <c r="B42" s="53">
        <v>5392.4</v>
      </c>
      <c r="C42" s="54">
        <v>7041.8</v>
      </c>
      <c r="D42" s="55">
        <v>8042.599999999999</v>
      </c>
      <c r="E42" s="56">
        <v>7259.5</v>
      </c>
      <c r="F42" s="57">
        <v>8386.8</v>
      </c>
      <c r="G42" s="58">
        <v>8198.5</v>
      </c>
      <c r="H42" s="57">
        <v>5375.2</v>
      </c>
      <c r="I42" s="57">
        <v>9011.9</v>
      </c>
      <c r="J42" s="58">
        <v>10712.5</v>
      </c>
      <c r="K42" s="58">
        <v>27096.1</v>
      </c>
      <c r="L42" s="60">
        <v>42792.21392</v>
      </c>
      <c r="M42" s="64">
        <v>55152.1</v>
      </c>
      <c r="N42" s="60">
        <v>77365.7</v>
      </c>
      <c r="O42" s="60">
        <v>94759.7</v>
      </c>
      <c r="P42" s="274">
        <v>83930.1</v>
      </c>
      <c r="Q42" s="274">
        <v>74902.4</v>
      </c>
      <c r="R42" s="274">
        <v>62990.3</v>
      </c>
      <c r="S42" s="274">
        <v>72195.3</v>
      </c>
      <c r="T42" s="64">
        <v>86846.3</v>
      </c>
      <c r="U42" s="288">
        <v>98283.4</v>
      </c>
      <c r="V42" s="288">
        <v>102011.7</v>
      </c>
      <c r="W42" s="297">
        <v>113278.5</v>
      </c>
      <c r="X42" s="297">
        <v>116296.8</v>
      </c>
      <c r="Y42" s="297">
        <v>118042.7</v>
      </c>
    </row>
    <row r="43" spans="1:25" ht="16.5" customHeight="1">
      <c r="A43" s="192" t="s">
        <v>39</v>
      </c>
      <c r="B43" s="53">
        <v>15234.460000000001</v>
      </c>
      <c r="C43" s="54">
        <v>20313.4</v>
      </c>
      <c r="D43" s="55">
        <v>27583.62</v>
      </c>
      <c r="E43" s="56">
        <v>35937.6</v>
      </c>
      <c r="F43" s="57">
        <v>37103.4</v>
      </c>
      <c r="G43" s="58">
        <v>38799.7</v>
      </c>
      <c r="H43" s="57">
        <v>33542</v>
      </c>
      <c r="I43" s="57">
        <v>35215.5</v>
      </c>
      <c r="J43" s="58">
        <v>40317.3</v>
      </c>
      <c r="K43" s="58">
        <v>57831.100000000006</v>
      </c>
      <c r="L43" s="81">
        <v>75622.1464</v>
      </c>
      <c r="M43" s="64">
        <v>87447.6</v>
      </c>
      <c r="N43" s="60">
        <v>106047.9</v>
      </c>
      <c r="O43" s="60">
        <v>127966.2</v>
      </c>
      <c r="P43" s="274">
        <v>161120.7</v>
      </c>
      <c r="Q43" s="274">
        <v>179544.9</v>
      </c>
      <c r="R43" s="274">
        <v>206429.1</v>
      </c>
      <c r="S43" s="274">
        <v>219957.6</v>
      </c>
      <c r="T43" s="64">
        <v>240274.8</v>
      </c>
      <c r="U43" s="288">
        <v>273184.2</v>
      </c>
      <c r="V43" s="288">
        <v>289492.4</v>
      </c>
      <c r="W43" s="297">
        <v>277962.2</v>
      </c>
      <c r="X43" s="297">
        <v>281273.2</v>
      </c>
      <c r="Y43" s="297">
        <v>276401</v>
      </c>
    </row>
    <row r="44" spans="1:25" ht="16.5" customHeight="1">
      <c r="A44" s="188" t="s">
        <v>40</v>
      </c>
      <c r="B44" s="71">
        <f>B45+B46</f>
        <v>25285.5</v>
      </c>
      <c r="C44" s="71">
        <f aca="true" t="shared" si="9" ref="C44:W44">C45+C46</f>
        <v>33776.4</v>
      </c>
      <c r="D44" s="71">
        <f t="shared" si="9"/>
        <v>43793.78</v>
      </c>
      <c r="E44" s="71">
        <f t="shared" si="9"/>
        <v>51136.82</v>
      </c>
      <c r="F44" s="71">
        <f t="shared" si="9"/>
        <v>55147.31614</v>
      </c>
      <c r="G44" s="71">
        <f t="shared" si="9"/>
        <v>56381.76</v>
      </c>
      <c r="H44" s="71">
        <f t="shared" si="9"/>
        <v>59868.520000000004</v>
      </c>
      <c r="I44" s="71">
        <f t="shared" si="9"/>
        <v>76149.6</v>
      </c>
      <c r="J44" s="71">
        <f t="shared" si="9"/>
        <v>100556.4</v>
      </c>
      <c r="K44" s="71">
        <f t="shared" si="9"/>
        <v>136493.8</v>
      </c>
      <c r="L44" s="71">
        <f t="shared" si="9"/>
        <v>182510.26032</v>
      </c>
      <c r="M44" s="71">
        <f t="shared" si="9"/>
        <v>210388.6</v>
      </c>
      <c r="N44" s="71">
        <f t="shared" si="9"/>
        <v>226841.90000000002</v>
      </c>
      <c r="O44" s="71">
        <f t="shared" si="9"/>
        <v>252179.80000000002</v>
      </c>
      <c r="P44" s="71">
        <f t="shared" si="9"/>
        <v>280763.8</v>
      </c>
      <c r="Q44" s="71">
        <f t="shared" si="9"/>
        <v>299142.6</v>
      </c>
      <c r="R44" s="71">
        <f t="shared" si="9"/>
        <v>323039.3</v>
      </c>
      <c r="S44" s="71">
        <f t="shared" si="9"/>
        <v>353016</v>
      </c>
      <c r="T44" s="74">
        <f t="shared" si="9"/>
        <v>384965</v>
      </c>
      <c r="U44" s="286">
        <f t="shared" si="9"/>
        <v>432481.5</v>
      </c>
      <c r="V44" s="286">
        <f t="shared" si="9"/>
        <v>443714.6</v>
      </c>
      <c r="W44" s="295">
        <f t="shared" si="9"/>
        <v>450939.4</v>
      </c>
      <c r="X44" s="295">
        <f>X45+X46</f>
        <v>462847.7</v>
      </c>
      <c r="Y44" s="295">
        <f>Y45+Y46</f>
        <v>473992</v>
      </c>
    </row>
    <row r="45" spans="1:25" ht="16.5" customHeight="1">
      <c r="A45" s="190" t="s">
        <v>41</v>
      </c>
      <c r="B45" s="53">
        <v>8096.42</v>
      </c>
      <c r="C45" s="54">
        <v>12761.2</v>
      </c>
      <c r="D45" s="55">
        <v>17195.69</v>
      </c>
      <c r="E45" s="56">
        <v>21969.92</v>
      </c>
      <c r="F45" s="57">
        <v>22565.300000000003</v>
      </c>
      <c r="G45" s="58">
        <v>22749.36</v>
      </c>
      <c r="H45" s="57">
        <v>19336.5</v>
      </c>
      <c r="I45" s="57">
        <v>22056.6</v>
      </c>
      <c r="J45" s="58">
        <v>31495.2</v>
      </c>
      <c r="K45" s="58">
        <v>57934.4</v>
      </c>
      <c r="L45" s="59">
        <v>95049.07248</v>
      </c>
      <c r="M45" s="64">
        <v>115406.3</v>
      </c>
      <c r="N45" s="60">
        <v>154559.85</v>
      </c>
      <c r="O45" s="60">
        <v>193674.7</v>
      </c>
      <c r="P45" s="274">
        <v>216343.8</v>
      </c>
      <c r="Q45" s="274">
        <v>229871</v>
      </c>
      <c r="R45" s="274">
        <v>240873.5</v>
      </c>
      <c r="S45" s="274">
        <v>261529.5</v>
      </c>
      <c r="T45" s="64">
        <v>296635.7</v>
      </c>
      <c r="U45" s="288">
        <v>340800.6</v>
      </c>
      <c r="V45" s="288">
        <v>360819.8</v>
      </c>
      <c r="W45" s="297">
        <v>359650.5</v>
      </c>
      <c r="X45" s="297">
        <v>364932.2</v>
      </c>
      <c r="Y45" s="297">
        <v>361760.5</v>
      </c>
    </row>
    <row r="46" spans="1:25" ht="16.5" customHeight="1" thickBot="1">
      <c r="A46" s="194" t="s">
        <v>42</v>
      </c>
      <c r="B46" s="300">
        <v>17189.08</v>
      </c>
      <c r="C46" s="301">
        <v>21015.2</v>
      </c>
      <c r="D46" s="302">
        <v>26598.090000000004</v>
      </c>
      <c r="E46" s="303">
        <v>29166.9</v>
      </c>
      <c r="F46" s="304">
        <v>32582.01614</v>
      </c>
      <c r="G46" s="305">
        <v>33632.4</v>
      </c>
      <c r="H46" s="304">
        <v>40532.020000000004</v>
      </c>
      <c r="I46" s="304">
        <v>54093</v>
      </c>
      <c r="J46" s="305">
        <v>69061.2</v>
      </c>
      <c r="K46" s="305">
        <v>78559.4</v>
      </c>
      <c r="L46" s="306">
        <v>87461.18784</v>
      </c>
      <c r="M46" s="307">
        <v>94982.3</v>
      </c>
      <c r="N46" s="308">
        <v>72282.05</v>
      </c>
      <c r="O46" s="308">
        <v>58505.1</v>
      </c>
      <c r="P46" s="309">
        <v>64420</v>
      </c>
      <c r="Q46" s="309">
        <v>69271.6</v>
      </c>
      <c r="R46" s="309">
        <v>82165.8</v>
      </c>
      <c r="S46" s="309">
        <v>91486.5</v>
      </c>
      <c r="T46" s="307">
        <v>88329.3</v>
      </c>
      <c r="U46" s="310">
        <v>91680.9</v>
      </c>
      <c r="V46" s="310">
        <v>82894.8</v>
      </c>
      <c r="W46" s="311">
        <v>91288.9</v>
      </c>
      <c r="X46" s="311">
        <v>97915.5</v>
      </c>
      <c r="Y46" s="311">
        <v>112231.5</v>
      </c>
    </row>
    <row r="47" spans="1:25" ht="16.5" customHeight="1" thickBot="1">
      <c r="A47" s="312" t="s">
        <v>43</v>
      </c>
      <c r="B47" s="313">
        <f>B49</f>
        <v>3.3</v>
      </c>
      <c r="C47" s="313">
        <f aca="true" t="shared" si="10" ref="C47:W47">C49</f>
        <v>41.4</v>
      </c>
      <c r="D47" s="313">
        <f t="shared" si="10"/>
        <v>73.6</v>
      </c>
      <c r="E47" s="313">
        <f t="shared" si="10"/>
        <v>226.6</v>
      </c>
      <c r="F47" s="313">
        <f t="shared" si="10"/>
        <v>672.4000000000001</v>
      </c>
      <c r="G47" s="313">
        <f t="shared" si="10"/>
        <v>2629.1</v>
      </c>
      <c r="H47" s="313">
        <f t="shared" si="10"/>
        <v>3472.3</v>
      </c>
      <c r="I47" s="313">
        <f t="shared" si="10"/>
        <v>6174.700000000001</v>
      </c>
      <c r="J47" s="313">
        <f t="shared" si="10"/>
        <v>9238.699999999999</v>
      </c>
      <c r="K47" s="313">
        <f t="shared" si="10"/>
        <v>10835.2</v>
      </c>
      <c r="L47" s="313">
        <f t="shared" si="10"/>
        <v>11948.925216</v>
      </c>
      <c r="M47" s="313">
        <f t="shared" si="10"/>
        <v>12879.4</v>
      </c>
      <c r="N47" s="313">
        <f t="shared" si="10"/>
        <v>14000.699999999999</v>
      </c>
      <c r="O47" s="313">
        <f t="shared" si="10"/>
        <v>14971.1</v>
      </c>
      <c r="P47" s="313">
        <f t="shared" si="10"/>
        <v>14891.699999999999</v>
      </c>
      <c r="Q47" s="313">
        <f t="shared" si="10"/>
        <v>16791.1</v>
      </c>
      <c r="R47" s="313">
        <f t="shared" si="10"/>
        <v>16040.9</v>
      </c>
      <c r="S47" s="313">
        <f t="shared" si="10"/>
        <v>15433</v>
      </c>
      <c r="T47" s="314">
        <f t="shared" si="10"/>
        <v>15958</v>
      </c>
      <c r="U47" s="315">
        <f t="shared" si="10"/>
        <v>16467</v>
      </c>
      <c r="V47" s="315">
        <f t="shared" si="10"/>
        <v>15971.6</v>
      </c>
      <c r="W47" s="316">
        <f t="shared" si="10"/>
        <v>15990.9</v>
      </c>
      <c r="X47" s="316">
        <f>X49</f>
        <v>15996</v>
      </c>
      <c r="Y47" s="316">
        <f>Y49</f>
        <v>16520.6</v>
      </c>
    </row>
    <row r="48" spans="1:25" ht="16.5" customHeight="1">
      <c r="A48" s="193" t="s">
        <v>44</v>
      </c>
      <c r="B48" s="53"/>
      <c r="C48" s="54"/>
      <c r="D48" s="55"/>
      <c r="E48" s="56"/>
      <c r="F48" s="57"/>
      <c r="G48" s="119"/>
      <c r="H48" s="119"/>
      <c r="I48" s="119"/>
      <c r="J48" s="58"/>
      <c r="K48" s="58"/>
      <c r="L48" s="120"/>
      <c r="M48" s="60"/>
      <c r="N48" s="60"/>
      <c r="O48" s="60"/>
      <c r="P48" s="274"/>
      <c r="Q48" s="274"/>
      <c r="R48" s="274"/>
      <c r="S48" s="280"/>
      <c r="T48" s="64"/>
      <c r="U48" s="288"/>
      <c r="V48" s="288"/>
      <c r="W48" s="297"/>
      <c r="X48" s="297"/>
      <c r="Y48" s="297"/>
    </row>
    <row r="49" spans="1:25" ht="16.5" customHeight="1">
      <c r="A49" s="186" t="s">
        <v>45</v>
      </c>
      <c r="B49" s="71">
        <f>B50+B51</f>
        <v>3.3</v>
      </c>
      <c r="C49" s="71">
        <f aca="true" t="shared" si="11" ref="C49:W49">C50+C51</f>
        <v>41.4</v>
      </c>
      <c r="D49" s="71">
        <f t="shared" si="11"/>
        <v>73.6</v>
      </c>
      <c r="E49" s="71">
        <f t="shared" si="11"/>
        <v>226.6</v>
      </c>
      <c r="F49" s="71">
        <f t="shared" si="11"/>
        <v>672.4000000000001</v>
      </c>
      <c r="G49" s="71">
        <f t="shared" si="11"/>
        <v>2629.1</v>
      </c>
      <c r="H49" s="71">
        <f t="shared" si="11"/>
        <v>3472.3</v>
      </c>
      <c r="I49" s="71">
        <f t="shared" si="11"/>
        <v>6174.700000000001</v>
      </c>
      <c r="J49" s="71">
        <f t="shared" si="11"/>
        <v>9238.699999999999</v>
      </c>
      <c r="K49" s="71">
        <f t="shared" si="11"/>
        <v>10835.2</v>
      </c>
      <c r="L49" s="71">
        <f t="shared" si="11"/>
        <v>11948.925216</v>
      </c>
      <c r="M49" s="71">
        <f t="shared" si="11"/>
        <v>12879.4</v>
      </c>
      <c r="N49" s="71">
        <f t="shared" si="11"/>
        <v>14000.699999999999</v>
      </c>
      <c r="O49" s="71">
        <f t="shared" si="11"/>
        <v>14971.1</v>
      </c>
      <c r="P49" s="71">
        <f t="shared" si="11"/>
        <v>14891.699999999999</v>
      </c>
      <c r="Q49" s="71">
        <f t="shared" si="11"/>
        <v>16791.1</v>
      </c>
      <c r="R49" s="71">
        <f t="shared" si="11"/>
        <v>16040.9</v>
      </c>
      <c r="S49" s="71">
        <f t="shared" si="11"/>
        <v>15433</v>
      </c>
      <c r="T49" s="74">
        <f t="shared" si="11"/>
        <v>15958</v>
      </c>
      <c r="U49" s="286">
        <f t="shared" si="11"/>
        <v>16467</v>
      </c>
      <c r="V49" s="286">
        <f t="shared" si="11"/>
        <v>15971.6</v>
      </c>
      <c r="W49" s="295">
        <f t="shared" si="11"/>
        <v>15990.9</v>
      </c>
      <c r="X49" s="295">
        <f>X50+X51</f>
        <v>15996</v>
      </c>
      <c r="Y49" s="295">
        <f>Y50+Y51</f>
        <v>16520.6</v>
      </c>
    </row>
    <row r="50" spans="1:25" ht="16.5" customHeight="1">
      <c r="A50" s="187" t="s">
        <v>5</v>
      </c>
      <c r="B50" s="53">
        <v>3.3</v>
      </c>
      <c r="C50" s="54">
        <v>41.4</v>
      </c>
      <c r="D50" s="56">
        <v>63.5</v>
      </c>
      <c r="E50" s="58">
        <v>196.7</v>
      </c>
      <c r="F50" s="58">
        <v>341</v>
      </c>
      <c r="G50" s="58">
        <v>2458.2</v>
      </c>
      <c r="H50" s="58">
        <v>3189</v>
      </c>
      <c r="I50" s="58">
        <v>5606.1</v>
      </c>
      <c r="J50" s="58">
        <v>8530.8</v>
      </c>
      <c r="K50" s="58">
        <v>10090.2</v>
      </c>
      <c r="L50" s="59">
        <v>11065.780576</v>
      </c>
      <c r="M50" s="57">
        <v>12199.6</v>
      </c>
      <c r="N50" s="60">
        <v>13302.8</v>
      </c>
      <c r="O50" s="60">
        <v>14376.2</v>
      </c>
      <c r="P50" s="274">
        <v>14360.3</v>
      </c>
      <c r="Q50" s="274">
        <v>16185.1</v>
      </c>
      <c r="R50" s="274">
        <v>15446.1</v>
      </c>
      <c r="S50" s="274">
        <v>14844.5</v>
      </c>
      <c r="T50" s="64">
        <v>15406.6</v>
      </c>
      <c r="U50" s="288">
        <v>15890.2</v>
      </c>
      <c r="V50" s="288">
        <v>15432.6</v>
      </c>
      <c r="W50" s="297">
        <v>15448.3</v>
      </c>
      <c r="X50" s="297">
        <v>15447.2</v>
      </c>
      <c r="Y50" s="297">
        <v>15949.6</v>
      </c>
    </row>
    <row r="51" spans="1:25" ht="16.5" customHeight="1">
      <c r="A51" s="187" t="s">
        <v>6</v>
      </c>
      <c r="B51" s="53">
        <v>0</v>
      </c>
      <c r="C51" s="54">
        <v>0</v>
      </c>
      <c r="D51" s="56">
        <v>10.1</v>
      </c>
      <c r="E51" s="58">
        <v>29.9</v>
      </c>
      <c r="F51" s="58">
        <v>331.40000000000003</v>
      </c>
      <c r="G51" s="58">
        <v>170.9</v>
      </c>
      <c r="H51" s="58">
        <v>283.29999999999995</v>
      </c>
      <c r="I51" s="58">
        <v>568.6</v>
      </c>
      <c r="J51" s="58">
        <v>707.9</v>
      </c>
      <c r="K51" s="58">
        <v>745</v>
      </c>
      <c r="L51" s="59">
        <v>883.14464</v>
      </c>
      <c r="M51" s="57">
        <v>679.8</v>
      </c>
      <c r="N51" s="60">
        <v>697.9</v>
      </c>
      <c r="O51" s="60">
        <v>594.9</v>
      </c>
      <c r="P51" s="274">
        <v>531.4</v>
      </c>
      <c r="Q51" s="274">
        <v>606</v>
      </c>
      <c r="R51" s="274">
        <v>594.8</v>
      </c>
      <c r="S51" s="274">
        <v>588.5</v>
      </c>
      <c r="T51" s="64">
        <v>551.4</v>
      </c>
      <c r="U51" s="288">
        <v>576.8</v>
      </c>
      <c r="V51" s="288">
        <v>539</v>
      </c>
      <c r="W51" s="297">
        <v>542.6</v>
      </c>
      <c r="X51" s="297">
        <v>548.8</v>
      </c>
      <c r="Y51" s="297">
        <v>571</v>
      </c>
    </row>
    <row r="52" spans="1:25" ht="16.5" customHeight="1">
      <c r="A52" s="188" t="s">
        <v>46</v>
      </c>
      <c r="B52" s="71">
        <f>B53+B54+B55</f>
        <v>3.3</v>
      </c>
      <c r="C52" s="71">
        <f aca="true" t="shared" si="12" ref="C52:W52">C53+C54+C55</f>
        <v>41.4</v>
      </c>
      <c r="D52" s="71">
        <f t="shared" si="12"/>
        <v>73.6474614</v>
      </c>
      <c r="E52" s="71">
        <f t="shared" si="12"/>
        <v>226.633176</v>
      </c>
      <c r="F52" s="71">
        <f t="shared" si="12"/>
        <v>672.35</v>
      </c>
      <c r="G52" s="71">
        <f t="shared" si="12"/>
        <v>2629.1000000000004</v>
      </c>
      <c r="H52" s="71">
        <f t="shared" si="12"/>
        <v>3472.2627758</v>
      </c>
      <c r="I52" s="71">
        <f t="shared" si="12"/>
        <v>6174.7</v>
      </c>
      <c r="J52" s="71">
        <f t="shared" si="12"/>
        <v>9238.6</v>
      </c>
      <c r="K52" s="71">
        <f t="shared" si="12"/>
        <v>10835.2</v>
      </c>
      <c r="L52" s="71">
        <f t="shared" si="12"/>
        <v>11948.908064000001</v>
      </c>
      <c r="M52" s="71">
        <f t="shared" si="12"/>
        <v>12879.359999999999</v>
      </c>
      <c r="N52" s="71">
        <f t="shared" si="12"/>
        <v>14000.699999999999</v>
      </c>
      <c r="O52" s="71">
        <f t="shared" si="12"/>
        <v>14917.054</v>
      </c>
      <c r="P52" s="71">
        <f t="shared" si="12"/>
        <v>14891.7</v>
      </c>
      <c r="Q52" s="71">
        <f t="shared" si="12"/>
        <v>16791.100000000002</v>
      </c>
      <c r="R52" s="71">
        <f t="shared" si="12"/>
        <v>16040.9</v>
      </c>
      <c r="S52" s="71">
        <f t="shared" si="12"/>
        <v>15433</v>
      </c>
      <c r="T52" s="74">
        <f t="shared" si="12"/>
        <v>15958</v>
      </c>
      <c r="U52" s="286">
        <f t="shared" si="12"/>
        <v>16467</v>
      </c>
      <c r="V52" s="286">
        <f t="shared" si="12"/>
        <v>15971.6</v>
      </c>
      <c r="W52" s="295">
        <f t="shared" si="12"/>
        <v>15990.900000000001</v>
      </c>
      <c r="X52" s="295">
        <f>X53+X54+X55</f>
        <v>15996</v>
      </c>
      <c r="Y52" s="295">
        <f>Y53+Y54+Y55</f>
        <v>16520.6</v>
      </c>
    </row>
    <row r="53" spans="1:25" ht="16.5" customHeight="1">
      <c r="A53" s="190" t="s">
        <v>47</v>
      </c>
      <c r="B53" s="53">
        <v>3.3</v>
      </c>
      <c r="C53" s="54">
        <v>41.4</v>
      </c>
      <c r="D53" s="56">
        <v>63.5</v>
      </c>
      <c r="E53" s="58">
        <v>196.7</v>
      </c>
      <c r="F53" s="58">
        <v>608.6</v>
      </c>
      <c r="G53" s="54">
        <v>671.7</v>
      </c>
      <c r="H53" s="58">
        <v>1393.2041437999999</v>
      </c>
      <c r="I53" s="58">
        <v>3296.6</v>
      </c>
      <c r="J53" s="58">
        <v>5422.5</v>
      </c>
      <c r="K53" s="58">
        <v>6494.86</v>
      </c>
      <c r="L53" s="59">
        <v>7210.891584</v>
      </c>
      <c r="M53" s="60">
        <v>7715.58</v>
      </c>
      <c r="N53" s="60">
        <v>8162</v>
      </c>
      <c r="O53" s="60">
        <v>8758.5</v>
      </c>
      <c r="P53" s="274">
        <v>8725.8</v>
      </c>
      <c r="Q53" s="276">
        <v>12882.7</v>
      </c>
      <c r="R53" s="274">
        <v>12526.3</v>
      </c>
      <c r="S53" s="274">
        <v>12321.9</v>
      </c>
      <c r="T53" s="64">
        <v>12939</v>
      </c>
      <c r="U53" s="288">
        <v>13494.3</v>
      </c>
      <c r="V53" s="288">
        <v>13458.8</v>
      </c>
      <c r="W53" s="297">
        <v>13468.6</v>
      </c>
      <c r="X53" s="297">
        <v>13448</v>
      </c>
      <c r="Y53" s="297">
        <v>14020.9</v>
      </c>
    </row>
    <row r="54" spans="1:25" ht="16.5" customHeight="1">
      <c r="A54" s="190" t="s">
        <v>23</v>
      </c>
      <c r="B54" s="53">
        <v>0</v>
      </c>
      <c r="C54" s="54">
        <v>0</v>
      </c>
      <c r="D54" s="56">
        <v>10.1474614</v>
      </c>
      <c r="E54" s="58">
        <v>29.933176</v>
      </c>
      <c r="F54" s="58">
        <v>63.75</v>
      </c>
      <c r="G54" s="58">
        <v>1957.4</v>
      </c>
      <c r="H54" s="58">
        <v>2072.758632</v>
      </c>
      <c r="I54" s="58">
        <v>2843.9</v>
      </c>
      <c r="J54" s="58">
        <v>3783.1</v>
      </c>
      <c r="K54" s="58">
        <v>4321.14</v>
      </c>
      <c r="L54" s="59">
        <v>4726.81648</v>
      </c>
      <c r="M54" s="60">
        <v>5157.38</v>
      </c>
      <c r="N54" s="60">
        <v>5836.9</v>
      </c>
      <c r="O54" s="60">
        <v>6158.5</v>
      </c>
      <c r="P54" s="274">
        <v>6118.2</v>
      </c>
      <c r="Q54" s="276">
        <v>3874</v>
      </c>
      <c r="R54" s="274">
        <v>3498.2</v>
      </c>
      <c r="S54" s="274">
        <v>3107.9</v>
      </c>
      <c r="T54" s="64">
        <v>3015.2</v>
      </c>
      <c r="U54" s="288">
        <v>2969.7</v>
      </c>
      <c r="V54" s="288">
        <v>2512.1</v>
      </c>
      <c r="W54" s="297">
        <v>2521.6</v>
      </c>
      <c r="X54" s="297">
        <v>2547.4</v>
      </c>
      <c r="Y54" s="297">
        <v>2499.1</v>
      </c>
    </row>
    <row r="55" spans="1:25" ht="16.5" customHeight="1">
      <c r="A55" s="190" t="s">
        <v>21</v>
      </c>
      <c r="B55" s="53">
        <v>0</v>
      </c>
      <c r="C55" s="54">
        <v>0</v>
      </c>
      <c r="D55" s="56">
        <v>0</v>
      </c>
      <c r="E55" s="58">
        <v>0</v>
      </c>
      <c r="F55" s="58">
        <v>0</v>
      </c>
      <c r="G55" s="58">
        <v>0</v>
      </c>
      <c r="H55" s="58">
        <v>6.3</v>
      </c>
      <c r="I55" s="58">
        <v>34.2</v>
      </c>
      <c r="J55" s="58">
        <v>33</v>
      </c>
      <c r="K55" s="58">
        <v>19.2</v>
      </c>
      <c r="L55" s="59">
        <v>11.2</v>
      </c>
      <c r="M55" s="60">
        <v>6.4</v>
      </c>
      <c r="N55" s="60">
        <v>1.8</v>
      </c>
      <c r="O55" s="60">
        <v>0.054</v>
      </c>
      <c r="P55" s="274">
        <v>47.7</v>
      </c>
      <c r="Q55" s="276">
        <v>34.4</v>
      </c>
      <c r="R55" s="274">
        <v>16.4</v>
      </c>
      <c r="S55" s="274">
        <v>3.2</v>
      </c>
      <c r="T55" s="64">
        <v>3.8</v>
      </c>
      <c r="U55" s="288">
        <v>3</v>
      </c>
      <c r="V55" s="288">
        <v>0.7</v>
      </c>
      <c r="W55" s="297">
        <v>0.7</v>
      </c>
      <c r="X55" s="297">
        <v>0.6</v>
      </c>
      <c r="Y55" s="297">
        <v>0.6</v>
      </c>
    </row>
    <row r="56" spans="1:25" ht="16.5" customHeight="1">
      <c r="A56" s="186" t="s">
        <v>48</v>
      </c>
      <c r="B56" s="74">
        <f>B57+B58</f>
        <v>3.3</v>
      </c>
      <c r="C56" s="74">
        <f aca="true" t="shared" si="13" ref="C56:W56">C57+C58</f>
        <v>41.4</v>
      </c>
      <c r="D56" s="74">
        <f t="shared" si="13"/>
        <v>73.6</v>
      </c>
      <c r="E56" s="74">
        <f t="shared" si="13"/>
        <v>226.6</v>
      </c>
      <c r="F56" s="74">
        <f t="shared" si="13"/>
        <v>672.4</v>
      </c>
      <c r="G56" s="74">
        <f t="shared" si="13"/>
        <v>2629.1</v>
      </c>
      <c r="H56" s="74">
        <f t="shared" si="13"/>
        <v>3472.3</v>
      </c>
      <c r="I56" s="74">
        <f t="shared" si="13"/>
        <v>6174.6</v>
      </c>
      <c r="J56" s="74">
        <f t="shared" si="13"/>
        <v>9238.6</v>
      </c>
      <c r="K56" s="74">
        <f t="shared" si="13"/>
        <v>10835.2</v>
      </c>
      <c r="L56" s="74">
        <f t="shared" si="13"/>
        <v>11948.925216</v>
      </c>
      <c r="M56" s="74">
        <f t="shared" si="13"/>
        <v>12879.349999999999</v>
      </c>
      <c r="N56" s="74">
        <f t="shared" si="13"/>
        <v>14000.7</v>
      </c>
      <c r="O56" s="74">
        <f t="shared" si="13"/>
        <v>14971.1</v>
      </c>
      <c r="P56" s="74">
        <f t="shared" si="13"/>
        <v>14891.7</v>
      </c>
      <c r="Q56" s="74">
        <f t="shared" si="13"/>
        <v>16791.1</v>
      </c>
      <c r="R56" s="74">
        <f t="shared" si="13"/>
        <v>16040.9</v>
      </c>
      <c r="S56" s="74">
        <f t="shared" si="13"/>
        <v>15433</v>
      </c>
      <c r="T56" s="74">
        <f t="shared" si="13"/>
        <v>15958</v>
      </c>
      <c r="U56" s="286">
        <f t="shared" si="13"/>
        <v>16467</v>
      </c>
      <c r="V56" s="286">
        <f t="shared" si="13"/>
        <v>15971.6</v>
      </c>
      <c r="W56" s="295">
        <f t="shared" si="13"/>
        <v>15990.9</v>
      </c>
      <c r="X56" s="295">
        <f>X57+X58</f>
        <v>15996</v>
      </c>
      <c r="Y56" s="295">
        <f>Y57+Y58</f>
        <v>16520.6</v>
      </c>
    </row>
    <row r="57" spans="1:25" ht="16.5" customHeight="1">
      <c r="A57" s="190" t="s">
        <v>49</v>
      </c>
      <c r="B57" s="123">
        <v>3.3</v>
      </c>
      <c r="C57" s="124">
        <v>41.4</v>
      </c>
      <c r="D57" s="56">
        <v>63.5</v>
      </c>
      <c r="E57" s="58">
        <v>196.7</v>
      </c>
      <c r="F57" s="58">
        <v>608.6</v>
      </c>
      <c r="G57" s="58">
        <v>665.8</v>
      </c>
      <c r="H57" s="58">
        <v>476.4</v>
      </c>
      <c r="I57" s="58">
        <v>1192.8</v>
      </c>
      <c r="J57" s="58">
        <v>1295.1</v>
      </c>
      <c r="K57" s="58">
        <v>3115.8</v>
      </c>
      <c r="L57" s="59">
        <v>2350.728</v>
      </c>
      <c r="M57" s="60">
        <v>550.05</v>
      </c>
      <c r="N57" s="60">
        <v>566.1</v>
      </c>
      <c r="O57" s="60">
        <v>505.6</v>
      </c>
      <c r="P57" s="274">
        <v>747.2</v>
      </c>
      <c r="Q57" s="276">
        <v>1123.5</v>
      </c>
      <c r="R57" s="274">
        <v>978.4</v>
      </c>
      <c r="S57" s="274">
        <v>936.9</v>
      </c>
      <c r="T57" s="64">
        <v>970.5</v>
      </c>
      <c r="U57" s="288">
        <v>1085.5</v>
      </c>
      <c r="V57" s="288">
        <v>1049.4</v>
      </c>
      <c r="W57" s="297">
        <v>1050.1</v>
      </c>
      <c r="X57" s="297">
        <v>973.8</v>
      </c>
      <c r="Y57" s="297">
        <v>1534.6</v>
      </c>
    </row>
    <row r="58" spans="1:25" ht="16.5" customHeight="1" thickBot="1">
      <c r="A58" s="194" t="s">
        <v>50</v>
      </c>
      <c r="B58" s="317">
        <v>0</v>
      </c>
      <c r="C58" s="318">
        <v>0</v>
      </c>
      <c r="D58" s="303">
        <v>10.1</v>
      </c>
      <c r="E58" s="305">
        <v>29.9</v>
      </c>
      <c r="F58" s="305">
        <v>63.8</v>
      </c>
      <c r="G58" s="305">
        <v>1963.3</v>
      </c>
      <c r="H58" s="305">
        <v>2995.9</v>
      </c>
      <c r="I58" s="305">
        <v>4981.8</v>
      </c>
      <c r="J58" s="305">
        <v>7943.5</v>
      </c>
      <c r="K58" s="305">
        <v>7719.4</v>
      </c>
      <c r="L58" s="306">
        <v>9598.197216</v>
      </c>
      <c r="M58" s="308">
        <v>12329.3</v>
      </c>
      <c r="N58" s="308">
        <v>13434.6</v>
      </c>
      <c r="O58" s="308">
        <v>14465.5</v>
      </c>
      <c r="P58" s="309">
        <v>14144.5</v>
      </c>
      <c r="Q58" s="319">
        <v>15667.6</v>
      </c>
      <c r="R58" s="309">
        <v>15062.5</v>
      </c>
      <c r="S58" s="309">
        <v>14496.1</v>
      </c>
      <c r="T58" s="307">
        <v>14987.5</v>
      </c>
      <c r="U58" s="310">
        <v>15381.5</v>
      </c>
      <c r="V58" s="310">
        <v>14922.2</v>
      </c>
      <c r="W58" s="311">
        <v>14940.8</v>
      </c>
      <c r="X58" s="311">
        <v>15022.2</v>
      </c>
      <c r="Y58" s="311">
        <v>14986</v>
      </c>
    </row>
    <row r="59" spans="1:25" ht="24" customHeight="1">
      <c r="A59" s="141" t="s">
        <v>51</v>
      </c>
      <c r="B59" s="142">
        <v>2.4118</v>
      </c>
      <c r="C59" s="142">
        <v>2.7881</v>
      </c>
      <c r="D59" s="142">
        <v>3.4919000000000002</v>
      </c>
      <c r="E59" s="142">
        <v>4.1117</v>
      </c>
      <c r="F59" s="142">
        <v>3.9663</v>
      </c>
      <c r="G59" s="142">
        <v>3.6771000000000003</v>
      </c>
      <c r="H59" s="143">
        <v>3.3817</v>
      </c>
      <c r="I59" s="143">
        <v>3.6102</v>
      </c>
      <c r="J59" s="144">
        <v>3.9859999999999998</v>
      </c>
      <c r="K59" s="144">
        <v>4.2296</v>
      </c>
      <c r="L59" s="145">
        <v>4.2848</v>
      </c>
      <c r="M59" s="145">
        <v>4.3197</v>
      </c>
      <c r="N59" s="145">
        <v>4.4287</v>
      </c>
      <c r="O59" s="145">
        <v>4.4847</v>
      </c>
      <c r="P59" s="145">
        <v>4.4821</v>
      </c>
      <c r="Q59" s="145">
        <v>4.5245</v>
      </c>
      <c r="R59" s="145">
        <v>4.5411</v>
      </c>
      <c r="S59" s="145">
        <v>4.6597</v>
      </c>
      <c r="T59" s="145">
        <v>4.6639</v>
      </c>
      <c r="U59" s="145">
        <v>4.7793</v>
      </c>
      <c r="V59" s="145">
        <v>4.7779</v>
      </c>
      <c r="W59" s="145">
        <v>4.8127</v>
      </c>
      <c r="X59" s="145">
        <v>4.8254</v>
      </c>
      <c r="Y59" s="145">
        <v>4.8421</v>
      </c>
    </row>
    <row r="60" spans="1:25" ht="20.25" customHeight="1">
      <c r="A60" s="141" t="s">
        <v>52</v>
      </c>
      <c r="B60" s="146">
        <v>81275</v>
      </c>
      <c r="C60" s="146">
        <v>118327</v>
      </c>
      <c r="D60" s="146">
        <v>152630</v>
      </c>
      <c r="E60" s="146">
        <v>198761</v>
      </c>
      <c r="F60" s="146">
        <v>248748</v>
      </c>
      <c r="G60" s="146">
        <v>290489</v>
      </c>
      <c r="H60" s="147">
        <v>347004</v>
      </c>
      <c r="I60" s="147">
        <v>428979</v>
      </c>
      <c r="J60" s="147">
        <v>538050</v>
      </c>
      <c r="K60" s="147">
        <v>526345</v>
      </c>
      <c r="L60" s="148">
        <v>529624</v>
      </c>
      <c r="M60" s="149">
        <v>562062</v>
      </c>
      <c r="N60" s="149">
        <v>595367</v>
      </c>
      <c r="O60" s="149">
        <v>637456</v>
      </c>
      <c r="P60" s="149">
        <v>668590</v>
      </c>
      <c r="Q60" s="149">
        <v>712588</v>
      </c>
      <c r="R60" s="149">
        <v>765135</v>
      </c>
      <c r="S60" s="149">
        <v>857896</v>
      </c>
      <c r="T60" s="149">
        <v>952396.8</v>
      </c>
      <c r="U60" s="149">
        <v>1059803</v>
      </c>
      <c r="V60" s="149">
        <v>1082140</v>
      </c>
      <c r="W60" s="149">
        <v>1082140</v>
      </c>
      <c r="X60" s="149">
        <v>1082140</v>
      </c>
      <c r="Y60" s="149">
        <v>1082140</v>
      </c>
    </row>
    <row r="61" spans="1:25" ht="16.5" customHeight="1">
      <c r="A61" s="332" t="s">
        <v>53</v>
      </c>
      <c r="B61" s="331"/>
      <c r="C61" s="331"/>
      <c r="D61" s="331"/>
      <c r="E61" s="331"/>
      <c r="F61" s="33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U61" s="153"/>
      <c r="V61" s="153"/>
      <c r="W61" s="153"/>
      <c r="X61" s="153"/>
      <c r="Y61" s="153"/>
    </row>
    <row r="62" spans="1:25" ht="16.5" customHeight="1">
      <c r="A62" s="330" t="s">
        <v>69</v>
      </c>
      <c r="B62" s="330"/>
      <c r="C62" s="330"/>
      <c r="D62" s="330"/>
      <c r="E62" s="330"/>
      <c r="F62" s="331"/>
      <c r="G62" s="331"/>
      <c r="H62" s="331"/>
      <c r="I62" s="331"/>
      <c r="J62" s="331"/>
      <c r="K62" s="331"/>
      <c r="O62" s="1"/>
      <c r="Q62" s="1"/>
      <c r="R62" s="154"/>
      <c r="U62" s="153"/>
      <c r="V62" s="153"/>
      <c r="W62" s="153"/>
      <c r="X62" s="153"/>
      <c r="Y62" s="153"/>
    </row>
    <row r="63" spans="1:25" ht="16.5" customHeight="1">
      <c r="A63" s="332" t="s">
        <v>67</v>
      </c>
      <c r="B63" s="331"/>
      <c r="C63" s="331"/>
      <c r="D63" s="331"/>
      <c r="E63" s="331"/>
      <c r="F63" s="331"/>
      <c r="I63" s="1"/>
      <c r="K63" s="1"/>
      <c r="O63" s="1"/>
      <c r="Q63" s="1"/>
      <c r="U63" s="153"/>
      <c r="V63" s="153"/>
      <c r="W63" s="153"/>
      <c r="X63" s="153"/>
      <c r="Y63" s="153"/>
    </row>
    <row r="64" ht="15" customHeight="1"/>
    <row r="67" ht="16.5" customHeight="1">
      <c r="I67" s="165"/>
    </row>
    <row r="68" ht="16.5" customHeight="1">
      <c r="I68" s="161"/>
    </row>
  </sheetData>
  <sheetProtection selectLockedCells="1" selectUnlockedCells="1"/>
  <mergeCells count="3">
    <mergeCell ref="A62:K62"/>
    <mergeCell ref="A61:F61"/>
    <mergeCell ref="A63:F63"/>
  </mergeCells>
  <printOptions horizontalCentered="1"/>
  <pageMargins left="0.2362204724409449" right="0" top="0.2755905511811024" bottom="0" header="0.2362204724409449" footer="0.5118110236220472"/>
  <pageSetup fitToHeight="0" fitToWidth="1" horizontalDpi="600" verticalDpi="600" orientation="landscape" paperSize="9" scale="46" r:id="rId1"/>
  <headerFooter alignWithMargins="0">
    <oddHeader>&amp;CDatoria publica*)</oddHeader>
  </headerFooter>
  <ignoredErrors>
    <ignoredError sqref="B23:C23 U23:W23 S23:T23 Q23:R23 O23:P23 D23:N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2020-04-30T10:01:12Z</cp:lastPrinted>
  <dcterms:created xsi:type="dcterms:W3CDTF">2019-09-13T11:21:24Z</dcterms:created>
  <dcterms:modified xsi:type="dcterms:W3CDTF">2020-06-09T12:57:58Z</dcterms:modified>
  <cp:category/>
  <cp:version/>
  <cp:contentType/>
  <cp:contentStatus/>
</cp:coreProperties>
</file>