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35" tabRatio="774" activeTab="0"/>
  </bookViews>
  <sheets>
    <sheet name="2000 - 2020 mart" sheetId="1" r:id="rId1"/>
  </sheets>
  <definedNames>
    <definedName name="Excel_BuiltIn_Print_Area" localSheetId="0">'2000 - 2020 mart'!$A$1:$O$62</definedName>
    <definedName name="Excel_BuiltIn_Print_Area">#N/A</definedName>
    <definedName name="Excel_BuiltIn_Print_Titles">NA()</definedName>
    <definedName name="_xlnm.Print_Area" localSheetId="0">'2000 - 2020 mart'!$A$1:$X$63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<sst xmlns="http://schemas.openxmlformats.org/spreadsheetml/2006/main" count="63" uniqueCount="58">
  <si>
    <t>RON mil.</t>
  </si>
  <si>
    <t>Indicators</t>
  </si>
  <si>
    <t>Public Debt</t>
  </si>
  <si>
    <t>%GDP</t>
  </si>
  <si>
    <t>Government public debt total,</t>
  </si>
  <si>
    <t>% GDP</t>
  </si>
  <si>
    <t xml:space="preserve">           1.By type:</t>
  </si>
  <si>
    <t xml:space="preserve">               - direct debt</t>
  </si>
  <si>
    <t xml:space="preserve">               - guaranteed</t>
  </si>
  <si>
    <t xml:space="preserve">          2. By creditors:</t>
  </si>
  <si>
    <t xml:space="preserve">               - multilateral</t>
  </si>
  <si>
    <t xml:space="preserve">               - bilateral</t>
  </si>
  <si>
    <t xml:space="preserve">               - private banks and others</t>
  </si>
  <si>
    <t xml:space="preserve">        3. By instruments:</t>
  </si>
  <si>
    <t xml:space="preserve">             - Treasury bills (Lei and Eur)</t>
  </si>
  <si>
    <t xml:space="preserve">             - Cash management instruments</t>
  </si>
  <si>
    <t xml:space="preserve">             - Bonds (Lei and Eur)</t>
  </si>
  <si>
    <t xml:space="preserve">             - Retail bonds under the Program TEZAUR</t>
  </si>
  <si>
    <t xml:space="preserve">             - Eurobonds</t>
  </si>
  <si>
    <t xml:space="preserve">             - Financial leasing</t>
  </si>
  <si>
    <t xml:space="preserve">             - Loans</t>
  </si>
  <si>
    <t xml:space="preserve">             - Loans from State Treasury Accounts</t>
  </si>
  <si>
    <t xml:space="preserve">        4. By currency: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</si>
  <si>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</si>
  <si>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</si>
  <si>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</si>
  <si>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</si>
  <si>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</si>
  <si>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</si>
  <si>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</si>
  <si>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</si>
  <si>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</si>
  <si>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</si>
  <si>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</si>
  <si>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</si>
  <si>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</si>
  <si>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</si>
  <si>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</si>
  <si>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</si>
  <si>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By initial maturity:</t>
  </si>
  <si>
    <t xml:space="preserve">             - short-term</t>
  </si>
  <si>
    <t xml:space="preserve">             - medium-term</t>
  </si>
  <si>
    <t xml:space="preserve">             - long term</t>
  </si>
  <si>
    <t xml:space="preserve">          6.  By interest type:</t>
  </si>
  <si>
    <t xml:space="preserve">             - fixed</t>
  </si>
  <si>
    <t xml:space="preserve">             - variabile</t>
  </si>
  <si>
    <t>Local public debt:</t>
  </si>
  <si>
    <t>out of which:</t>
  </si>
  <si>
    <t xml:space="preserve">         2. By currency: </t>
  </si>
  <si>
    <t xml:space="preserve">               - Lei</t>
  </si>
  <si>
    <t xml:space="preserve">         3. By initial maturity:</t>
  </si>
  <si>
    <t xml:space="preserve">                - between  1 - 5 years</t>
  </si>
  <si>
    <t xml:space="preserve">                - over 5 years</t>
  </si>
  <si>
    <t>Exchange rate Eur / Ron</t>
  </si>
  <si>
    <t>GDP mil. RON</t>
  </si>
  <si>
    <t>*) according to OUG 64/2007 concerning public debt, includs guarantees issued by local authorities.</t>
  </si>
  <si>
    <t>GDP according to  the fiscal notification from April 2020</t>
  </si>
  <si>
    <t>**)the difference in absolute value / percentage is due to the rounding of the calculation formula in excel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</si>
</sst>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0.0%"/>
    <numFmt numFmtId="178" formatCode="0.0000"/>
    <numFmt numFmtId="179" formatCode="d\-mmm\-yy;@"/>
    <numFmt numFmtId="180" formatCode="#,##0.0000"/>
    <numFmt numFmtId="181" formatCode="d\ mmm\ yyyy"/>
  </numFmts>
  <fonts count="50"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53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9" fillId="0" borderId="0" applyFill="0" applyBorder="0" applyAlignment="0" applyProtection="0"/>
    <xf numFmtId="41" fontId="9" fillId="0" borderId="0" applyFill="0" applyBorder="0" applyAlignment="0" applyProtection="0"/>
    <xf numFmtId="44" fontId="9" fillId="0" borderId="0" applyFill="0" applyBorder="0" applyAlignment="0" applyProtection="0"/>
    <xf numFmtId="42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9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33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 wrapText="1"/>
    </xf>
    <xf numFmtId="176" fontId="6" fillId="35" borderId="11" xfId="0" applyNumberFormat="1" applyFont="1" applyFill="1" applyBorder="1" applyAlignment="1">
      <alignment horizontal="center" vertical="center" wrapText="1"/>
    </xf>
    <xf numFmtId="176" fontId="6" fillId="35" borderId="12" xfId="0" applyNumberFormat="1" applyFont="1" applyFill="1" applyBorder="1" applyAlignment="1">
      <alignment horizontal="center" vertical="center" wrapText="1"/>
    </xf>
    <xf numFmtId="176" fontId="6" fillId="35" borderId="13" xfId="0" applyNumberFormat="1" applyFont="1" applyFill="1" applyBorder="1" applyAlignment="1">
      <alignment horizontal="center" vertical="center" wrapText="1"/>
    </xf>
    <xf numFmtId="176" fontId="6" fillId="35" borderId="14" xfId="0" applyNumberFormat="1" applyFont="1" applyFill="1" applyBorder="1" applyAlignment="1">
      <alignment horizontal="center" vertical="center" wrapText="1"/>
    </xf>
    <xf numFmtId="0" fontId="2" fillId="36" borderId="15" xfId="0" applyNumberFormat="1" applyFont="1" applyFill="1" applyBorder="1" applyAlignment="1">
      <alignment horizontal="center" vertical="center" wrapText="1"/>
    </xf>
    <xf numFmtId="177" fontId="2" fillId="36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 wrapText="1"/>
    </xf>
    <xf numFmtId="176" fontId="6" fillId="0" borderId="18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7" fillId="37" borderId="24" xfId="0" applyNumberFormat="1" applyFont="1" applyFill="1" applyBorder="1" applyAlignment="1">
      <alignment/>
    </xf>
    <xf numFmtId="176" fontId="6" fillId="0" borderId="25" xfId="0" applyNumberFormat="1" applyFont="1" applyBorder="1" applyAlignment="1">
      <alignment vertical="top" wrapText="1"/>
    </xf>
    <xf numFmtId="176" fontId="6" fillId="0" borderId="26" xfId="0" applyNumberFormat="1" applyFont="1" applyBorder="1" applyAlignment="1">
      <alignment vertical="top" wrapText="1"/>
    </xf>
    <xf numFmtId="176" fontId="6" fillId="0" borderId="27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horizontal="left" vertical="center" wrapText="1"/>
    </xf>
    <xf numFmtId="176" fontId="2" fillId="0" borderId="28" xfId="0" applyNumberFormat="1" applyFont="1" applyFill="1" applyBorder="1" applyAlignment="1">
      <alignment vertical="top" wrapText="1"/>
    </xf>
    <xf numFmtId="176" fontId="2" fillId="0" borderId="29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/>
    </xf>
    <xf numFmtId="176" fontId="6" fillId="0" borderId="25" xfId="0" applyNumberFormat="1" applyFont="1" applyFill="1" applyBorder="1" applyAlignment="1">
      <alignment vertical="top" wrapText="1"/>
    </xf>
    <xf numFmtId="176" fontId="6" fillId="0" borderId="26" xfId="0" applyNumberFormat="1" applyFont="1" applyFill="1" applyBorder="1" applyAlignment="1">
      <alignment vertical="top" wrapText="1"/>
    </xf>
    <xf numFmtId="176" fontId="6" fillId="0" borderId="27" xfId="0" applyNumberFormat="1" applyFont="1" applyFill="1" applyBorder="1" applyAlignment="1">
      <alignment vertical="top" wrapText="1"/>
    </xf>
    <xf numFmtId="176" fontId="2" fillId="0" borderId="28" xfId="0" applyNumberFormat="1" applyFont="1" applyFill="1" applyBorder="1" applyAlignment="1">
      <alignment wrapText="1"/>
    </xf>
    <xf numFmtId="176" fontId="2" fillId="0" borderId="29" xfId="0" applyNumberFormat="1" applyFont="1" applyFill="1" applyBorder="1" applyAlignment="1">
      <alignment wrapText="1"/>
    </xf>
    <xf numFmtId="176" fontId="2" fillId="0" borderId="30" xfId="0" applyNumberFormat="1" applyFont="1" applyFill="1" applyBorder="1" applyAlignment="1">
      <alignment wrapText="1"/>
    </xf>
    <xf numFmtId="0" fontId="7" fillId="0" borderId="24" xfId="0" applyNumberFormat="1" applyFont="1" applyBorder="1" applyAlignment="1">
      <alignment horizontal="left" vertical="top" wrapText="1"/>
    </xf>
    <xf numFmtId="0" fontId="2" fillId="37" borderId="21" xfId="0" applyNumberFormat="1" applyFont="1" applyFill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top" wrapText="1"/>
    </xf>
    <xf numFmtId="176" fontId="6" fillId="0" borderId="25" xfId="0" applyNumberFormat="1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27" xfId="0" applyNumberFormat="1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0" fontId="2" fillId="37" borderId="21" xfId="0" applyNumberFormat="1" applyFont="1" applyFill="1" applyBorder="1" applyAlignment="1">
      <alignment/>
    </xf>
    <xf numFmtId="0" fontId="6" fillId="0" borderId="31" xfId="0" applyNumberFormat="1" applyFont="1" applyBorder="1" applyAlignment="1">
      <alignment horizontal="left" vertical="center" wrapText="1"/>
    </xf>
    <xf numFmtId="176" fontId="6" fillId="0" borderId="32" xfId="0" applyNumberFormat="1" applyFont="1" applyFill="1" applyBorder="1" applyAlignment="1">
      <alignment/>
    </xf>
    <xf numFmtId="176" fontId="6" fillId="0" borderId="33" xfId="0" applyNumberFormat="1" applyFont="1" applyFill="1" applyBorder="1" applyAlignment="1">
      <alignment/>
    </xf>
    <xf numFmtId="176" fontId="6" fillId="0" borderId="34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/>
    </xf>
    <xf numFmtId="176" fontId="2" fillId="0" borderId="35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6" fillId="0" borderId="36" xfId="0" applyNumberFormat="1" applyFont="1" applyFill="1" applyBorder="1" applyAlignment="1">
      <alignment vertical="top" wrapText="1"/>
    </xf>
    <xf numFmtId="176" fontId="6" fillId="0" borderId="37" xfId="0" applyNumberFormat="1" applyFont="1" applyFill="1" applyBorder="1" applyAlignment="1">
      <alignment vertical="top" wrapText="1"/>
    </xf>
    <xf numFmtId="176" fontId="2" fillId="0" borderId="22" xfId="0" applyNumberFormat="1" applyFont="1" applyFill="1" applyBorder="1" applyAlignment="1">
      <alignment vertical="top" wrapText="1"/>
    </xf>
    <xf numFmtId="176" fontId="2" fillId="0" borderId="35" xfId="0" applyNumberFormat="1" applyFont="1" applyFill="1" applyBorder="1" applyAlignment="1">
      <alignment/>
    </xf>
    <xf numFmtId="0" fontId="2" fillId="0" borderId="38" xfId="0" applyNumberFormat="1" applyFont="1" applyBorder="1" applyAlignment="1">
      <alignment horizontal="left" vertical="top" wrapText="1"/>
    </xf>
    <xf numFmtId="176" fontId="2" fillId="0" borderId="39" xfId="0" applyNumberFormat="1" applyFont="1" applyFill="1" applyBorder="1" applyAlignment="1">
      <alignment vertical="top" wrapText="1"/>
    </xf>
    <xf numFmtId="176" fontId="2" fillId="0" borderId="40" xfId="0" applyNumberFormat="1" applyFont="1" applyFill="1" applyBorder="1" applyAlignment="1">
      <alignment/>
    </xf>
    <xf numFmtId="176" fontId="2" fillId="0" borderId="4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6" fillId="34" borderId="14" xfId="0" applyNumberFormat="1" applyFont="1" applyFill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76" fontId="6" fillId="0" borderId="41" xfId="0" applyNumberFormat="1" applyFont="1" applyBorder="1" applyAlignment="1">
      <alignment/>
    </xf>
    <xf numFmtId="176" fontId="6" fillId="0" borderId="37" xfId="0" applyNumberFormat="1" applyFont="1" applyBorder="1" applyAlignment="1">
      <alignment vertical="top" wrapText="1"/>
    </xf>
    <xf numFmtId="176" fontId="2" fillId="0" borderId="23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23" xfId="0" applyNumberFormat="1" applyFont="1" applyFill="1" applyBorder="1" applyAlignment="1">
      <alignment wrapText="1"/>
    </xf>
    <xf numFmtId="176" fontId="2" fillId="0" borderId="0" xfId="0" applyNumberFormat="1" applyFont="1" applyFill="1" applyBorder="1" applyAlignment="1">
      <alignment wrapText="1"/>
    </xf>
    <xf numFmtId="176" fontId="6" fillId="0" borderId="37" xfId="0" applyNumberFormat="1" applyFont="1" applyFill="1" applyBorder="1" applyAlignment="1">
      <alignment wrapText="1"/>
    </xf>
    <xf numFmtId="176" fontId="6" fillId="0" borderId="26" xfId="0" applyNumberFormat="1" applyFont="1" applyFill="1" applyBorder="1" applyAlignment="1">
      <alignment wrapText="1"/>
    </xf>
    <xf numFmtId="176" fontId="6" fillId="0" borderId="27" xfId="0" applyNumberFormat="1" applyFont="1" applyFill="1" applyBorder="1" applyAlignment="1">
      <alignment wrapText="1"/>
    </xf>
    <xf numFmtId="176" fontId="6" fillId="0" borderId="37" xfId="0" applyNumberFormat="1" applyFont="1" applyFill="1" applyBorder="1" applyAlignment="1">
      <alignment/>
    </xf>
    <xf numFmtId="176" fontId="6" fillId="0" borderId="42" xfId="0" applyNumberFormat="1" applyFont="1" applyFill="1" applyBorder="1" applyAlignment="1">
      <alignment/>
    </xf>
    <xf numFmtId="176" fontId="6" fillId="37" borderId="32" xfId="0" applyNumberFormat="1" applyFont="1" applyFill="1" applyBorder="1" applyAlignment="1">
      <alignment/>
    </xf>
    <xf numFmtId="0" fontId="2" fillId="0" borderId="23" xfId="0" applyNumberFormat="1" applyFont="1" applyBorder="1" applyAlignment="1">
      <alignment/>
    </xf>
    <xf numFmtId="176" fontId="6" fillId="0" borderId="43" xfId="0" applyNumberFormat="1" applyFont="1" applyFill="1" applyBorder="1" applyAlignment="1">
      <alignment vertical="top" wrapText="1"/>
    </xf>
    <xf numFmtId="176" fontId="2" fillId="0" borderId="0" xfId="0" applyNumberFormat="1" applyFont="1" applyBorder="1" applyAlignment="1">
      <alignment/>
    </xf>
    <xf numFmtId="176" fontId="2" fillId="0" borderId="44" xfId="0" applyNumberFormat="1" applyFont="1" applyFill="1" applyBorder="1" applyAlignment="1">
      <alignment/>
    </xf>
    <xf numFmtId="176" fontId="2" fillId="0" borderId="45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37" borderId="0" xfId="0" applyNumberFormat="1" applyFont="1" applyFill="1" applyAlignment="1">
      <alignment horizontal="right" vertical="center" wrapText="1"/>
    </xf>
    <xf numFmtId="0" fontId="3" fillId="0" borderId="0" xfId="0" applyNumberFormat="1" applyFont="1" applyBorder="1" applyAlignment="1">
      <alignment horizontal="right"/>
    </xf>
    <xf numFmtId="1" fontId="6" fillId="34" borderId="14" xfId="0" applyNumberFormat="1" applyFont="1" applyFill="1" applyBorder="1" applyAlignment="1">
      <alignment horizontal="center" vertical="center"/>
    </xf>
    <xf numFmtId="177" fontId="6" fillId="0" borderId="23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6" fillId="37" borderId="33" xfId="0" applyNumberFormat="1" applyFont="1" applyFill="1" applyBorder="1" applyAlignment="1">
      <alignment/>
    </xf>
    <xf numFmtId="176" fontId="2" fillId="0" borderId="4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6" fillId="34" borderId="46" xfId="0" applyNumberFormat="1" applyFont="1" applyFill="1" applyBorder="1" applyAlignment="1">
      <alignment horizontal="center" vertical="center"/>
    </xf>
    <xf numFmtId="176" fontId="6" fillId="35" borderId="46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Border="1" applyAlignment="1">
      <alignment/>
    </xf>
    <xf numFmtId="177" fontId="6" fillId="0" borderId="48" xfId="0" applyNumberFormat="1" applyFont="1" applyBorder="1" applyAlignment="1">
      <alignment/>
    </xf>
    <xf numFmtId="176" fontId="6" fillId="0" borderId="49" xfId="0" applyNumberFormat="1" applyFont="1" applyBorder="1" applyAlignment="1">
      <alignment vertical="top" wrapText="1"/>
    </xf>
    <xf numFmtId="176" fontId="2" fillId="0" borderId="48" xfId="0" applyNumberFormat="1" applyFont="1" applyBorder="1" applyAlignment="1">
      <alignment/>
    </xf>
    <xf numFmtId="176" fontId="6" fillId="0" borderId="49" xfId="0" applyNumberFormat="1" applyFont="1" applyFill="1" applyBorder="1" applyAlignment="1">
      <alignment vertical="top" wrapText="1"/>
    </xf>
    <xf numFmtId="176" fontId="6" fillId="0" borderId="49" xfId="0" applyNumberFormat="1" applyFont="1" applyFill="1" applyBorder="1" applyAlignment="1">
      <alignment wrapText="1"/>
    </xf>
    <xf numFmtId="176" fontId="4" fillId="0" borderId="48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6" fillId="0" borderId="49" xfId="0" applyNumberFormat="1" applyFont="1" applyFill="1" applyBorder="1" applyAlignment="1">
      <alignment/>
    </xf>
    <xf numFmtId="176" fontId="6" fillId="37" borderId="50" xfId="0" applyNumberFormat="1" applyFont="1" applyFill="1" applyBorder="1" applyAlignment="1">
      <alignment/>
    </xf>
    <xf numFmtId="176" fontId="2" fillId="0" borderId="51" xfId="0" applyNumberFormat="1" applyFont="1" applyBorder="1" applyAlignment="1">
      <alignment/>
    </xf>
    <xf numFmtId="0" fontId="3" fillId="0" borderId="0" xfId="0" applyFont="1" applyAlignment="1">
      <alignment/>
    </xf>
    <xf numFmtId="177" fontId="6" fillId="0" borderId="25" xfId="0" applyNumberFormat="1" applyFont="1" applyBorder="1" applyAlignment="1">
      <alignment/>
    </xf>
    <xf numFmtId="176" fontId="2" fillId="0" borderId="25" xfId="0" applyNumberFormat="1" applyFont="1" applyBorder="1" applyAlignment="1">
      <alignment vertical="top" wrapText="1"/>
    </xf>
    <xf numFmtId="176" fontId="2" fillId="0" borderId="52" xfId="0" applyNumberFormat="1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6" fillId="0" borderId="25" xfId="0" applyNumberFormat="1" applyFont="1" applyFill="1" applyBorder="1" applyAlignment="1">
      <alignment wrapText="1"/>
    </xf>
    <xf numFmtId="176" fontId="6" fillId="37" borderId="53" xfId="0" applyNumberFormat="1" applyFont="1" applyFill="1" applyBorder="1" applyAlignment="1">
      <alignment/>
    </xf>
    <xf numFmtId="176" fontId="3" fillId="0" borderId="28" xfId="0" applyNumberFormat="1" applyFont="1" applyBorder="1" applyAlignment="1">
      <alignment/>
    </xf>
    <xf numFmtId="176" fontId="2" fillId="0" borderId="54" xfId="0" applyNumberFormat="1" applyFont="1" applyBorder="1" applyAlignment="1">
      <alignment/>
    </xf>
    <xf numFmtId="176" fontId="11" fillId="35" borderId="55" xfId="0" applyNumberFormat="1" applyFont="1" applyFill="1" applyBorder="1" applyAlignment="1">
      <alignment horizontal="center" vertical="center" wrapText="1"/>
    </xf>
    <xf numFmtId="176" fontId="6" fillId="0" borderId="56" xfId="0" applyNumberFormat="1" applyFont="1" applyBorder="1" applyAlignment="1">
      <alignment/>
    </xf>
    <xf numFmtId="176" fontId="11" fillId="0" borderId="57" xfId="0" applyNumberFormat="1" applyFont="1" applyBorder="1" applyAlignment="1">
      <alignment/>
    </xf>
    <xf numFmtId="177" fontId="6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6" fontId="6" fillId="0" borderId="58" xfId="0" applyNumberFormat="1" applyFont="1" applyBorder="1" applyAlignment="1">
      <alignment vertical="top" wrapText="1"/>
    </xf>
    <xf numFmtId="176" fontId="11" fillId="0" borderId="59" xfId="0" applyNumberFormat="1" applyFont="1" applyBorder="1" applyAlignment="1">
      <alignment vertical="top" wrapText="1"/>
    </xf>
    <xf numFmtId="176" fontId="2" fillId="0" borderId="60" xfId="0" applyNumberFormat="1" applyFont="1" applyBorder="1" applyAlignment="1">
      <alignment/>
    </xf>
    <xf numFmtId="176" fontId="4" fillId="0" borderId="61" xfId="0" applyNumberFormat="1" applyFont="1" applyBorder="1" applyAlignment="1">
      <alignment/>
    </xf>
    <xf numFmtId="176" fontId="2" fillId="0" borderId="62" xfId="0" applyNumberFormat="1" applyFont="1" applyBorder="1" applyAlignment="1">
      <alignment/>
    </xf>
    <xf numFmtId="176" fontId="4" fillId="0" borderId="63" xfId="0" applyNumberFormat="1" applyFont="1" applyBorder="1" applyAlignment="1">
      <alignment/>
    </xf>
    <xf numFmtId="176" fontId="6" fillId="0" borderId="58" xfId="0" applyNumberFormat="1" applyFont="1" applyFill="1" applyBorder="1" applyAlignment="1">
      <alignment vertical="top" wrapText="1"/>
    </xf>
    <xf numFmtId="176" fontId="11" fillId="0" borderId="59" xfId="0" applyNumberFormat="1" applyFont="1" applyFill="1" applyBorder="1" applyAlignment="1">
      <alignment vertical="top" wrapText="1"/>
    </xf>
    <xf numFmtId="176" fontId="2" fillId="0" borderId="56" xfId="0" applyNumberFormat="1" applyFont="1" applyBorder="1" applyAlignment="1">
      <alignment/>
    </xf>
    <xf numFmtId="176" fontId="4" fillId="0" borderId="57" xfId="0" applyNumberFormat="1" applyFont="1" applyBorder="1" applyAlignment="1">
      <alignment/>
    </xf>
    <xf numFmtId="176" fontId="6" fillId="0" borderId="58" xfId="0" applyNumberFormat="1" applyFont="1" applyFill="1" applyBorder="1" applyAlignment="1">
      <alignment wrapText="1"/>
    </xf>
    <xf numFmtId="176" fontId="11" fillId="0" borderId="59" xfId="0" applyNumberFormat="1" applyFont="1" applyFill="1" applyBorder="1" applyAlignment="1">
      <alignment wrapText="1"/>
    </xf>
    <xf numFmtId="176" fontId="6" fillId="0" borderId="58" xfId="0" applyNumberFormat="1" applyFont="1" applyFill="1" applyBorder="1" applyAlignment="1">
      <alignment/>
    </xf>
    <xf numFmtId="176" fontId="11" fillId="0" borderId="59" xfId="0" applyNumberFormat="1" applyFont="1" applyFill="1" applyBorder="1" applyAlignment="1">
      <alignment/>
    </xf>
    <xf numFmtId="176" fontId="11" fillId="37" borderId="64" xfId="0" applyNumberFormat="1" applyFont="1" applyFill="1" applyBorder="1" applyAlignment="1">
      <alignment/>
    </xf>
    <xf numFmtId="176" fontId="2" fillId="0" borderId="65" xfId="0" applyNumberFormat="1" applyFont="1" applyBorder="1" applyAlignment="1">
      <alignment/>
    </xf>
    <xf numFmtId="176" fontId="4" fillId="0" borderId="66" xfId="0" applyNumberFormat="1" applyFont="1" applyBorder="1" applyAlignment="1">
      <alignment/>
    </xf>
    <xf numFmtId="180" fontId="4" fillId="0" borderId="0" xfId="0" applyNumberFormat="1" applyFont="1" applyFill="1" applyBorder="1" applyAlignment="1">
      <alignment horizontal="right" vertical="center" wrapText="1"/>
    </xf>
    <xf numFmtId="3" fontId="4" fillId="37" borderId="0" xfId="0" applyNumberFormat="1" applyFont="1" applyFill="1" applyAlignment="1">
      <alignment horizontal="right" vertical="center" wrapText="1"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177" fontId="6" fillId="36" borderId="16" xfId="0" applyNumberFormat="1" applyFont="1" applyFill="1" applyBorder="1" applyAlignment="1">
      <alignment horizontal="center" vertical="center" wrapText="1"/>
    </xf>
    <xf numFmtId="176" fontId="2" fillId="0" borderId="63" xfId="0" applyNumberFormat="1" applyFont="1" applyBorder="1" applyAlignment="1">
      <alignment/>
    </xf>
    <xf numFmtId="176" fontId="6" fillId="35" borderId="16" xfId="0" applyNumberFormat="1" applyFont="1" applyFill="1" applyBorder="1" applyAlignment="1">
      <alignment horizontal="center" vertical="center" wrapText="1"/>
    </xf>
    <xf numFmtId="176" fontId="6" fillId="35" borderId="55" xfId="0" applyNumberFormat="1" applyFont="1" applyFill="1" applyBorder="1" applyAlignment="1">
      <alignment horizontal="center" vertical="center" wrapText="1"/>
    </xf>
    <xf numFmtId="176" fontId="6" fillId="0" borderId="57" xfId="0" applyNumberFormat="1" applyFont="1" applyBorder="1" applyAlignment="1">
      <alignment/>
    </xf>
    <xf numFmtId="176" fontId="6" fillId="0" borderId="59" xfId="0" applyNumberFormat="1" applyFont="1" applyBorder="1" applyAlignment="1">
      <alignment vertical="top" wrapText="1"/>
    </xf>
    <xf numFmtId="176" fontId="2" fillId="0" borderId="61" xfId="0" applyNumberFormat="1" applyFont="1" applyBorder="1" applyAlignment="1">
      <alignment/>
    </xf>
    <xf numFmtId="176" fontId="6" fillId="0" borderId="59" xfId="0" applyNumberFormat="1" applyFont="1" applyFill="1" applyBorder="1" applyAlignment="1">
      <alignment vertical="top" wrapText="1"/>
    </xf>
    <xf numFmtId="176" fontId="2" fillId="0" borderId="57" xfId="0" applyNumberFormat="1" applyFont="1" applyBorder="1" applyAlignment="1">
      <alignment/>
    </xf>
    <xf numFmtId="176" fontId="6" fillId="0" borderId="59" xfId="0" applyNumberFormat="1" applyFont="1" applyFill="1" applyBorder="1" applyAlignment="1">
      <alignment wrapText="1"/>
    </xf>
    <xf numFmtId="176" fontId="6" fillId="0" borderId="59" xfId="0" applyNumberFormat="1" applyFont="1" applyFill="1" applyBorder="1" applyAlignment="1">
      <alignment/>
    </xf>
    <xf numFmtId="176" fontId="6" fillId="37" borderId="64" xfId="0" applyNumberFormat="1" applyFont="1" applyFill="1" applyBorder="1" applyAlignment="1">
      <alignment/>
    </xf>
    <xf numFmtId="176" fontId="2" fillId="0" borderId="66" xfId="0" applyNumberFormat="1" applyFont="1" applyBorder="1" applyAlignment="1">
      <alignment/>
    </xf>
    <xf numFmtId="176" fontId="6" fillId="35" borderId="67" xfId="0" applyNumberFormat="1" applyFont="1" applyFill="1" applyBorder="1" applyAlignment="1">
      <alignment horizontal="center" vertical="center" wrapText="1"/>
    </xf>
    <xf numFmtId="181" fontId="6" fillId="34" borderId="67" xfId="0" applyNumberFormat="1" applyFont="1" applyFill="1" applyBorder="1" applyAlignment="1">
      <alignment horizontal="center" vertical="center"/>
    </xf>
    <xf numFmtId="177" fontId="6" fillId="0" borderId="55" xfId="0" applyNumberFormat="1" applyFont="1" applyFill="1" applyBorder="1" applyAlignment="1">
      <alignment horizontal="center" vertical="center" wrapText="1"/>
    </xf>
    <xf numFmtId="177" fontId="6" fillId="36" borderId="67" xfId="0" applyNumberFormat="1" applyFont="1" applyFill="1" applyBorder="1" applyAlignment="1">
      <alignment horizontal="center" vertical="center" wrapText="1"/>
    </xf>
    <xf numFmtId="177" fontId="6" fillId="0" borderId="59" xfId="0" applyNumberFormat="1" applyFont="1" applyBorder="1" applyAlignment="1">
      <alignment/>
    </xf>
    <xf numFmtId="176" fontId="49" fillId="0" borderId="63" xfId="0" applyNumberFormat="1" applyFont="1" applyBorder="1" applyAlignment="1">
      <alignment/>
    </xf>
    <xf numFmtId="181" fontId="6" fillId="34" borderId="16" xfId="0" applyNumberFormat="1" applyFont="1" applyFill="1" applyBorder="1" applyAlignment="1">
      <alignment horizontal="center" vertical="center"/>
    </xf>
    <xf numFmtId="176" fontId="6" fillId="0" borderId="68" xfId="0" applyNumberFormat="1" applyFont="1" applyBorder="1" applyAlignment="1">
      <alignment/>
    </xf>
    <xf numFmtId="177" fontId="6" fillId="0" borderId="69" xfId="0" applyNumberFormat="1" applyFont="1" applyBorder="1" applyAlignment="1">
      <alignment/>
    </xf>
    <xf numFmtId="176" fontId="6" fillId="0" borderId="69" xfId="0" applyNumberFormat="1" applyFont="1" applyBorder="1" applyAlignment="1">
      <alignment vertical="top" wrapText="1"/>
    </xf>
    <xf numFmtId="176" fontId="2" fillId="33" borderId="60" xfId="0" applyNumberFormat="1" applyFont="1" applyFill="1" applyBorder="1" applyAlignment="1">
      <alignment/>
    </xf>
    <xf numFmtId="176" fontId="2" fillId="33" borderId="70" xfId="0" applyNumberFormat="1" applyFont="1" applyFill="1" applyBorder="1" applyAlignment="1">
      <alignment/>
    </xf>
    <xf numFmtId="176" fontId="2" fillId="33" borderId="62" xfId="0" applyNumberFormat="1" applyFont="1" applyFill="1" applyBorder="1" applyAlignment="1">
      <alignment/>
    </xf>
    <xf numFmtId="176" fontId="2" fillId="33" borderId="71" xfId="0" applyNumberFormat="1" applyFont="1" applyFill="1" applyBorder="1" applyAlignment="1">
      <alignment/>
    </xf>
    <xf numFmtId="176" fontId="6" fillId="33" borderId="58" xfId="0" applyNumberFormat="1" applyFont="1" applyFill="1" applyBorder="1" applyAlignment="1">
      <alignment vertical="top" wrapText="1"/>
    </xf>
    <xf numFmtId="176" fontId="6" fillId="33" borderId="69" xfId="0" applyNumberFormat="1" applyFont="1" applyFill="1" applyBorder="1" applyAlignment="1">
      <alignment vertical="top" wrapText="1"/>
    </xf>
    <xf numFmtId="176" fontId="2" fillId="33" borderId="56" xfId="0" applyNumberFormat="1" applyFont="1" applyFill="1" applyBorder="1" applyAlignment="1">
      <alignment/>
    </xf>
    <xf numFmtId="176" fontId="2" fillId="33" borderId="68" xfId="0" applyNumberFormat="1" applyFont="1" applyFill="1" applyBorder="1" applyAlignment="1">
      <alignment/>
    </xf>
    <xf numFmtId="176" fontId="6" fillId="33" borderId="58" xfId="0" applyNumberFormat="1" applyFont="1" applyFill="1" applyBorder="1" applyAlignment="1">
      <alignment wrapText="1"/>
    </xf>
    <xf numFmtId="176" fontId="6" fillId="33" borderId="69" xfId="0" applyNumberFormat="1" applyFont="1" applyFill="1" applyBorder="1" applyAlignment="1">
      <alignment wrapText="1"/>
    </xf>
    <xf numFmtId="176" fontId="2" fillId="0" borderId="71" xfId="0" applyNumberFormat="1" applyFont="1" applyBorder="1" applyAlignment="1">
      <alignment/>
    </xf>
    <xf numFmtId="176" fontId="6" fillId="0" borderId="69" xfId="0" applyNumberFormat="1" applyFont="1" applyFill="1" applyBorder="1" applyAlignment="1">
      <alignment/>
    </xf>
    <xf numFmtId="176" fontId="2" fillId="0" borderId="70" xfId="0" applyNumberFormat="1" applyFont="1" applyBorder="1" applyAlignment="1">
      <alignment/>
    </xf>
    <xf numFmtId="176" fontId="6" fillId="0" borderId="69" xfId="0" applyNumberFormat="1" applyFont="1" applyFill="1" applyBorder="1" applyAlignment="1">
      <alignment vertical="top" wrapText="1"/>
    </xf>
    <xf numFmtId="176" fontId="6" fillId="37" borderId="72" xfId="0" applyNumberFormat="1" applyFont="1" applyFill="1" applyBorder="1" applyAlignment="1">
      <alignment/>
    </xf>
    <xf numFmtId="176" fontId="2" fillId="0" borderId="73" xfId="0" applyNumberFormat="1" applyFont="1" applyBorder="1" applyAlignment="1">
      <alignment/>
    </xf>
    <xf numFmtId="0" fontId="2" fillId="33" borderId="21" xfId="0" applyNumberFormat="1" applyFont="1" applyFill="1" applyBorder="1" applyAlignment="1">
      <alignment horizontal="left" vertical="top" wrapText="1"/>
    </xf>
    <xf numFmtId="176" fontId="2" fillId="33" borderId="28" xfId="0" applyNumberFormat="1" applyFont="1" applyFill="1" applyBorder="1" applyAlignment="1">
      <alignment vertical="top" wrapText="1"/>
    </xf>
    <xf numFmtId="176" fontId="2" fillId="33" borderId="29" xfId="0" applyNumberFormat="1" applyFont="1" applyFill="1" applyBorder="1" applyAlignment="1">
      <alignment/>
    </xf>
    <xf numFmtId="176" fontId="2" fillId="33" borderId="30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76" fontId="2" fillId="33" borderId="23" xfId="0" applyNumberFormat="1" applyFont="1" applyFill="1" applyBorder="1" applyAlignment="1">
      <alignment/>
    </xf>
    <xf numFmtId="176" fontId="2" fillId="33" borderId="29" xfId="0" applyNumberFormat="1" applyFont="1" applyFill="1" applyBorder="1" applyAlignment="1">
      <alignment/>
    </xf>
    <xf numFmtId="176" fontId="2" fillId="33" borderId="48" xfId="0" applyNumberFormat="1" applyFont="1" applyFill="1" applyBorder="1" applyAlignment="1">
      <alignment/>
    </xf>
    <xf numFmtId="176" fontId="2" fillId="33" borderId="28" xfId="0" applyNumberFormat="1" applyFont="1" applyFill="1" applyBorder="1" applyAlignment="1">
      <alignment/>
    </xf>
    <xf numFmtId="176" fontId="4" fillId="33" borderId="63" xfId="0" applyNumberFormat="1" applyFont="1" applyFill="1" applyBorder="1" applyAlignment="1">
      <alignment/>
    </xf>
    <xf numFmtId="176" fontId="2" fillId="33" borderId="63" xfId="0" applyNumberFormat="1" applyFont="1" applyFill="1" applyBorder="1" applyAlignment="1">
      <alignment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view="pageBreakPreview" zoomScaleNormal="75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M10" sqref="M10"/>
    </sheetView>
  </sheetViews>
  <sheetFormatPr defaultColWidth="9.6640625" defaultRowHeight="15"/>
  <cols>
    <col min="1" max="1" width="40.88671875" style="2" customWidth="1"/>
    <col min="2" max="2" width="9.4453125" style="2" customWidth="1"/>
    <col min="3" max="3" width="9.21484375" style="2" customWidth="1"/>
    <col min="4" max="5" width="9.5546875" style="2" customWidth="1"/>
    <col min="6" max="6" width="9.10546875" style="2" customWidth="1"/>
    <col min="7" max="7" width="8.88671875" style="2" customWidth="1"/>
    <col min="8" max="8" width="9.77734375" style="2" customWidth="1"/>
    <col min="9" max="9" width="9.21484375" style="2" customWidth="1"/>
    <col min="10" max="10" width="9.99609375" style="2" customWidth="1"/>
    <col min="11" max="11" width="9.5546875" style="2" customWidth="1"/>
    <col min="12" max="12" width="8.77734375" style="2" customWidth="1"/>
    <col min="13" max="14" width="9.5546875" style="3" customWidth="1"/>
    <col min="15" max="15" width="10.3359375" style="2" customWidth="1"/>
    <col min="16" max="16" width="10.21484375" style="4" customWidth="1"/>
    <col min="17" max="17" width="9.3359375" style="5" customWidth="1"/>
    <col min="18" max="18" width="9.99609375" style="2" customWidth="1"/>
    <col min="19" max="19" width="9.77734375" style="2" customWidth="1"/>
    <col min="20" max="20" width="10.10546875" style="2" bestFit="1" customWidth="1"/>
    <col min="21" max="21" width="9.4453125" style="2" customWidth="1"/>
    <col min="22" max="23" width="9.99609375" style="2" bestFit="1" customWidth="1"/>
    <col min="24" max="24" width="11.3359375" style="2" customWidth="1"/>
    <col min="25" max="16384" width="9.6640625" style="2" customWidth="1"/>
  </cols>
  <sheetData>
    <row r="1" spans="1:24" ht="1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M1" s="97"/>
      <c r="N1" s="104"/>
      <c r="O1" s="105"/>
      <c r="P1" s="115"/>
      <c r="R1" s="155"/>
      <c r="T1" s="155"/>
      <c r="X1" s="2" t="s">
        <v>0</v>
      </c>
    </row>
    <row r="2" spans="1:24" ht="36.75" customHeight="1" thickBot="1">
      <c r="A2" s="7" t="s">
        <v>1</v>
      </c>
      <c r="B2" s="8">
        <v>2000</v>
      </c>
      <c r="C2" s="9">
        <v>2001</v>
      </c>
      <c r="D2" s="9">
        <v>2002</v>
      </c>
      <c r="E2" s="9">
        <v>2003</v>
      </c>
      <c r="F2" s="9">
        <v>2004</v>
      </c>
      <c r="G2" s="9">
        <v>2005</v>
      </c>
      <c r="H2" s="9">
        <v>2006</v>
      </c>
      <c r="I2" s="73">
        <v>2007</v>
      </c>
      <c r="J2" s="9">
        <v>2008</v>
      </c>
      <c r="K2" s="74">
        <v>2009</v>
      </c>
      <c r="L2" s="75">
        <v>2010</v>
      </c>
      <c r="M2" s="98">
        <v>2011</v>
      </c>
      <c r="N2" s="106">
        <v>2012</v>
      </c>
      <c r="O2" s="106">
        <v>2013</v>
      </c>
      <c r="P2" s="106">
        <v>2014</v>
      </c>
      <c r="Q2" s="106">
        <v>2015</v>
      </c>
      <c r="R2" s="106">
        <v>2016</v>
      </c>
      <c r="S2" s="106">
        <v>2017</v>
      </c>
      <c r="T2" s="106">
        <v>2018</v>
      </c>
      <c r="U2" s="106">
        <v>2019</v>
      </c>
      <c r="V2" s="175">
        <v>43861</v>
      </c>
      <c r="W2" s="170">
        <v>43890</v>
      </c>
      <c r="X2" s="170">
        <v>43921</v>
      </c>
    </row>
    <row r="3" spans="1:24" ht="27.75" customHeight="1" thickBot="1">
      <c r="A3" s="10" t="s">
        <v>2</v>
      </c>
      <c r="B3" s="11">
        <f aca="true" t="shared" si="0" ref="B3:M3">B5+B47</f>
        <v>25288.80802</v>
      </c>
      <c r="C3" s="12">
        <f t="shared" si="0"/>
        <v>33817.842</v>
      </c>
      <c r="D3" s="13">
        <f t="shared" si="0"/>
        <v>43867.39546</v>
      </c>
      <c r="E3" s="12">
        <f t="shared" si="0"/>
        <v>51363.20874999999</v>
      </c>
      <c r="F3" s="12">
        <f t="shared" si="0"/>
        <v>55819.68415</v>
      </c>
      <c r="G3" s="12">
        <f t="shared" si="0"/>
        <v>59010.94912</v>
      </c>
      <c r="H3" s="14">
        <f t="shared" si="0"/>
        <v>63340.806710000004</v>
      </c>
      <c r="I3" s="12">
        <f t="shared" si="0"/>
        <v>82324.33</v>
      </c>
      <c r="J3" s="12">
        <f t="shared" si="0"/>
        <v>109795.09999999999</v>
      </c>
      <c r="K3" s="13">
        <f t="shared" si="0"/>
        <v>147329</v>
      </c>
      <c r="L3" s="14">
        <f t="shared" si="0"/>
        <v>194459.225216</v>
      </c>
      <c r="M3" s="12">
        <f t="shared" si="0"/>
        <v>223268</v>
      </c>
      <c r="N3" s="107">
        <v>240842.6</v>
      </c>
      <c r="O3" s="11">
        <f>O5+O47</f>
        <v>267150.89999999997</v>
      </c>
      <c r="P3" s="129">
        <f>P5+P47</f>
        <v>295655.5</v>
      </c>
      <c r="Q3" s="129">
        <f>Q5+Q47</f>
        <v>315933.69999999995</v>
      </c>
      <c r="R3" s="159">
        <f>R5+R47</f>
        <v>339080.2</v>
      </c>
      <c r="S3" s="158">
        <f>S5+S47</f>
        <v>368448.9</v>
      </c>
      <c r="T3" s="169">
        <f>T5+T47</f>
        <v>400923</v>
      </c>
      <c r="U3" s="169">
        <f>U5+U47</f>
        <v>448948.5</v>
      </c>
      <c r="V3" s="169">
        <f>V5+V47</f>
        <v>459686.2</v>
      </c>
      <c r="W3" s="169">
        <f>W5+W47</f>
        <v>466930.30000000005</v>
      </c>
      <c r="X3" s="169">
        <f>X5+X47</f>
        <v>478843.7</v>
      </c>
    </row>
    <row r="4" spans="1:24" s="1" customFormat="1" ht="15.75" customHeight="1" thickBot="1">
      <c r="A4" s="15" t="s">
        <v>3</v>
      </c>
      <c r="B4" s="16">
        <f>B3/B60</f>
        <v>0.3111511291294986</v>
      </c>
      <c r="C4" s="16">
        <f aca="true" t="shared" si="1" ref="C4:Q4">C3/C60</f>
        <v>0.28579987661311446</v>
      </c>
      <c r="D4" s="16">
        <f t="shared" si="1"/>
        <v>0.2874100469108301</v>
      </c>
      <c r="E4" s="16">
        <f t="shared" si="1"/>
        <v>0.2584169366726872</v>
      </c>
      <c r="F4" s="16">
        <f t="shared" si="1"/>
        <v>0.2244025445430717</v>
      </c>
      <c r="G4" s="16">
        <f t="shared" si="1"/>
        <v>0.20314348949529928</v>
      </c>
      <c r="H4" s="16">
        <f t="shared" si="1"/>
        <v>0.18253624370324262</v>
      </c>
      <c r="I4" s="16">
        <f t="shared" si="1"/>
        <v>0.19190759920648798</v>
      </c>
      <c r="J4" s="16">
        <f t="shared" si="1"/>
        <v>0.20406114673357492</v>
      </c>
      <c r="K4" s="16">
        <f t="shared" si="1"/>
        <v>0.27990956501914144</v>
      </c>
      <c r="L4" s="16">
        <f t="shared" si="1"/>
        <v>0.367164677612797</v>
      </c>
      <c r="M4" s="16">
        <f t="shared" si="1"/>
        <v>0.3972301988036907</v>
      </c>
      <c r="N4" s="16">
        <f t="shared" si="1"/>
        <v>0.40452796342424086</v>
      </c>
      <c r="O4" s="16">
        <f t="shared" si="1"/>
        <v>0.4190891606636379</v>
      </c>
      <c r="P4" s="16">
        <f t="shared" si="1"/>
        <v>0.4422074814161145</v>
      </c>
      <c r="Q4" s="156">
        <f t="shared" si="1"/>
        <v>0.4433609603305135</v>
      </c>
      <c r="R4" s="156">
        <f>R3/R60</f>
        <v>0.44316388611160124</v>
      </c>
      <c r="S4" s="171">
        <f>S3/S60</f>
        <v>0.42947968052071583</v>
      </c>
      <c r="T4" s="172">
        <f>T3/T60</f>
        <v>0.42096214518990405</v>
      </c>
      <c r="U4" s="172">
        <f>U3/U60</f>
        <v>0.42361624834874506</v>
      </c>
      <c r="V4" s="172">
        <f>V3/V60</f>
        <v>0.424793649620197</v>
      </c>
      <c r="W4" s="172">
        <f>W3/W60</f>
        <v>0.4314878851165284</v>
      </c>
      <c r="X4" s="172">
        <f>X3/X60</f>
        <v>0.4424969966917405</v>
      </c>
    </row>
    <row r="5" spans="1:24" ht="21" customHeight="1">
      <c r="A5" s="17" t="s">
        <v>4</v>
      </c>
      <c r="B5" s="18">
        <f aca="true" t="shared" si="2" ref="B5:M5">B7</f>
        <v>25285.50802</v>
      </c>
      <c r="C5" s="19">
        <f t="shared" si="2"/>
        <v>33776.441999999995</v>
      </c>
      <c r="D5" s="20">
        <f t="shared" si="2"/>
        <v>43793.79546</v>
      </c>
      <c r="E5" s="19">
        <f t="shared" si="2"/>
        <v>51136.60874999999</v>
      </c>
      <c r="F5" s="19">
        <f t="shared" si="2"/>
        <v>55147.28415</v>
      </c>
      <c r="G5" s="19">
        <f t="shared" si="2"/>
        <v>56381.84912</v>
      </c>
      <c r="H5" s="19">
        <f t="shared" si="2"/>
        <v>59868.50671</v>
      </c>
      <c r="I5" s="76">
        <f t="shared" si="2"/>
        <v>76149.63</v>
      </c>
      <c r="J5" s="19">
        <f t="shared" si="2"/>
        <v>100556.4</v>
      </c>
      <c r="K5" s="20">
        <f t="shared" si="2"/>
        <v>136493.8</v>
      </c>
      <c r="L5" s="76">
        <f t="shared" si="2"/>
        <v>182510.3</v>
      </c>
      <c r="M5" s="19">
        <f t="shared" si="2"/>
        <v>210388.6</v>
      </c>
      <c r="N5" s="108">
        <v>226841.9</v>
      </c>
      <c r="O5" s="18">
        <f>O7</f>
        <v>252179.8</v>
      </c>
      <c r="P5" s="131">
        <f>P7</f>
        <v>280763.8</v>
      </c>
      <c r="Q5" s="131">
        <f>Q7</f>
        <v>299142.6</v>
      </c>
      <c r="R5" s="160">
        <f>R7</f>
        <v>323039.3</v>
      </c>
      <c r="S5" s="160">
        <f>S7</f>
        <v>353015.9</v>
      </c>
      <c r="T5" s="130">
        <v>384965</v>
      </c>
      <c r="U5" s="130">
        <f>U7</f>
        <v>432481.5</v>
      </c>
      <c r="V5" s="130">
        <f>V7</f>
        <v>443714.60000000003</v>
      </c>
      <c r="W5" s="176">
        <f>W7</f>
        <v>450939.4</v>
      </c>
      <c r="X5" s="176">
        <f>X7</f>
        <v>462847.7</v>
      </c>
    </row>
    <row r="6" spans="1:24" ht="15">
      <c r="A6" s="21" t="s">
        <v>5</v>
      </c>
      <c r="B6" s="22">
        <f aca="true" t="shared" si="3" ref="B6:N6">B5/B60</f>
        <v>0.3111105262380806</v>
      </c>
      <c r="C6" s="23">
        <f t="shared" si="3"/>
        <v>0.28544999873232646</v>
      </c>
      <c r="D6" s="23">
        <f t="shared" si="3"/>
        <v>0.2869278350258796</v>
      </c>
      <c r="E6" s="23">
        <f t="shared" si="3"/>
        <v>0.2572768739843329</v>
      </c>
      <c r="F6" s="23">
        <f t="shared" si="3"/>
        <v>0.22169940723141493</v>
      </c>
      <c r="G6" s="23">
        <f t="shared" si="3"/>
        <v>0.1940928886119612</v>
      </c>
      <c r="H6" s="23">
        <f t="shared" si="3"/>
        <v>0.1725297308100195</v>
      </c>
      <c r="I6" s="23">
        <f t="shared" si="3"/>
        <v>0.17751365451455667</v>
      </c>
      <c r="J6" s="23">
        <f t="shared" si="3"/>
        <v>0.18689043769166433</v>
      </c>
      <c r="K6" s="23">
        <f t="shared" si="3"/>
        <v>0.2593238275275722</v>
      </c>
      <c r="L6" s="23">
        <f t="shared" si="3"/>
        <v>0.34460353005150823</v>
      </c>
      <c r="M6" s="99">
        <f t="shared" si="3"/>
        <v>0.374315644893268</v>
      </c>
      <c r="N6" s="109">
        <f t="shared" si="3"/>
        <v>0.3810118800672526</v>
      </c>
      <c r="O6" s="120">
        <f>O5/O60</f>
        <v>0.39560346125850254</v>
      </c>
      <c r="P6" s="133">
        <f>P5/P60</f>
        <v>0.4199341898622474</v>
      </c>
      <c r="Q6" s="133">
        <f>Q5/Q60</f>
        <v>0.41979741449477115</v>
      </c>
      <c r="R6" s="133">
        <f>R5/R60</f>
        <v>0.4221990890496448</v>
      </c>
      <c r="S6" s="173">
        <f>S5/S60</f>
        <v>0.4114903205050496</v>
      </c>
      <c r="T6" s="132">
        <f>T5/T60</f>
        <v>0.40420652400344054</v>
      </c>
      <c r="U6" s="132">
        <f>U5/U60</f>
        <v>0.40807841102094733</v>
      </c>
      <c r="V6" s="132">
        <f>V5/V60</f>
        <v>0.41003437632838635</v>
      </c>
      <c r="W6" s="177">
        <f>W5/W60</f>
        <v>0.41671077679413016</v>
      </c>
      <c r="X6" s="177">
        <f>X5/X60</f>
        <v>0.42771517548561183</v>
      </c>
    </row>
    <row r="7" spans="1:24" ht="15">
      <c r="A7" s="24" t="s">
        <v>6</v>
      </c>
      <c r="B7" s="25">
        <f aca="true" t="shared" si="4" ref="B7:M7">B8+B9</f>
        <v>25285.50802</v>
      </c>
      <c r="C7" s="26">
        <f t="shared" si="4"/>
        <v>33776.441999999995</v>
      </c>
      <c r="D7" s="27">
        <f t="shared" si="4"/>
        <v>43793.79546</v>
      </c>
      <c r="E7" s="26">
        <f t="shared" si="4"/>
        <v>51136.60874999999</v>
      </c>
      <c r="F7" s="26">
        <f t="shared" si="4"/>
        <v>55147.28415</v>
      </c>
      <c r="G7" s="26">
        <f t="shared" si="4"/>
        <v>56381.84912</v>
      </c>
      <c r="H7" s="26">
        <f t="shared" si="4"/>
        <v>59868.50671</v>
      </c>
      <c r="I7" s="77">
        <f t="shared" si="4"/>
        <v>76149.63</v>
      </c>
      <c r="J7" s="26">
        <f t="shared" si="4"/>
        <v>100556.4</v>
      </c>
      <c r="K7" s="27">
        <f t="shared" si="4"/>
        <v>136493.8</v>
      </c>
      <c r="L7" s="77">
        <f t="shared" si="4"/>
        <v>182510.3</v>
      </c>
      <c r="M7" s="26">
        <f t="shared" si="4"/>
        <v>210388.6</v>
      </c>
      <c r="N7" s="110">
        <v>226841.9</v>
      </c>
      <c r="O7" s="121">
        <f>O8+O9</f>
        <v>252179.8</v>
      </c>
      <c r="P7" s="135">
        <f>P8+P9</f>
        <v>280763.8</v>
      </c>
      <c r="Q7" s="135">
        <f>Q8+Q9</f>
        <v>299142.6</v>
      </c>
      <c r="R7" s="161">
        <f>R8+R9</f>
        <v>323039.3</v>
      </c>
      <c r="S7" s="161">
        <f>S8+S9</f>
        <v>353015.9</v>
      </c>
      <c r="T7" s="134">
        <f>T8+T9</f>
        <v>384965</v>
      </c>
      <c r="U7" s="134">
        <f>U8+U9</f>
        <v>432481.5</v>
      </c>
      <c r="V7" s="134">
        <f>V8+V9</f>
        <v>443714.60000000003</v>
      </c>
      <c r="W7" s="178">
        <f>W8+W9</f>
        <v>450939.4</v>
      </c>
      <c r="X7" s="178">
        <f>X8+X9</f>
        <v>462847.7</v>
      </c>
    </row>
    <row r="8" spans="1:24" ht="14.25">
      <c r="A8" s="28" t="s">
        <v>7</v>
      </c>
      <c r="B8" s="29">
        <f>7370.4+5320.8*B59</f>
        <v>20203.10544</v>
      </c>
      <c r="C8" s="30">
        <f>9122.8+6232.5*C59</f>
        <v>26499.63325</v>
      </c>
      <c r="D8" s="31">
        <f>10797.6+6638.3*D59</f>
        <v>33977.87977</v>
      </c>
      <c r="E8" s="32">
        <f>10714.3+7399.4*E59</f>
        <v>41138.412979999994</v>
      </c>
      <c r="F8" s="33">
        <f>12166.1+7684*F59</f>
        <v>42643.1492</v>
      </c>
      <c r="G8" s="34">
        <f>13877.9+7972.1*G59</f>
        <v>43192.10891</v>
      </c>
      <c r="H8" s="33">
        <f>24243.7+7677*H59</f>
        <v>50205.0109</v>
      </c>
      <c r="I8" s="33">
        <f>39918.3+27222.67</f>
        <v>67140.97</v>
      </c>
      <c r="J8" s="34">
        <f>59429+32513</f>
        <v>91942</v>
      </c>
      <c r="K8" s="32">
        <f>80290.2+46281.5</f>
        <v>126571.7</v>
      </c>
      <c r="L8" s="78">
        <v>167632.5</v>
      </c>
      <c r="M8" s="79">
        <v>199284.6</v>
      </c>
      <c r="N8" s="111">
        <v>213731</v>
      </c>
      <c r="O8" s="122">
        <v>237972</v>
      </c>
      <c r="P8" s="137">
        <v>265448.5</v>
      </c>
      <c r="Q8" s="137">
        <v>283579.5</v>
      </c>
      <c r="R8" s="162">
        <v>306440.5</v>
      </c>
      <c r="S8" s="162">
        <v>335543.2</v>
      </c>
      <c r="T8" s="136">
        <v>366933.4</v>
      </c>
      <c r="U8" s="179">
        <v>413853.7</v>
      </c>
      <c r="V8" s="179">
        <v>425118.2</v>
      </c>
      <c r="W8" s="180">
        <v>432365.9</v>
      </c>
      <c r="X8" s="180">
        <v>444258.7</v>
      </c>
    </row>
    <row r="9" spans="1:24" ht="14.25">
      <c r="A9" s="28" t="s">
        <v>8</v>
      </c>
      <c r="B9" s="29">
        <f>82.5+2073.1*B59</f>
        <v>5082.40258</v>
      </c>
      <c r="C9" s="30">
        <f>62.6+2587.5*C59</f>
        <v>7276.80875</v>
      </c>
      <c r="D9" s="31">
        <f>963.6+2535.1*D59</f>
        <v>9815.91569</v>
      </c>
      <c r="E9" s="32">
        <f>795.8+2238.1*E59</f>
        <v>9998.195769999998</v>
      </c>
      <c r="F9" s="33">
        <f>2245.3+2586.5*F59</f>
        <v>12504.13495</v>
      </c>
      <c r="G9" s="34">
        <f>2250+2975.1*G59</f>
        <v>13189.74021</v>
      </c>
      <c r="H9" s="33">
        <f>1583.6+2389.3*H59</f>
        <v>9663.49581</v>
      </c>
      <c r="I9" s="33">
        <f>1956.1+7052.56</f>
        <v>9008.66</v>
      </c>
      <c r="J9" s="34">
        <f>2094.1+6520.3</f>
        <v>8614.4</v>
      </c>
      <c r="K9" s="32">
        <f>4059+5863.1</f>
        <v>9922.1</v>
      </c>
      <c r="L9" s="78">
        <v>14877.8</v>
      </c>
      <c r="M9" s="79">
        <v>11104</v>
      </c>
      <c r="N9" s="111">
        <v>13110.9</v>
      </c>
      <c r="O9" s="123">
        <v>14207.8</v>
      </c>
      <c r="P9" s="139">
        <v>15315.3</v>
      </c>
      <c r="Q9" s="139">
        <v>15563.1</v>
      </c>
      <c r="R9" s="157">
        <v>16598.8</v>
      </c>
      <c r="S9" s="157">
        <v>17472.7</v>
      </c>
      <c r="T9" s="138">
        <v>18031.6</v>
      </c>
      <c r="U9" s="181">
        <v>18627.8</v>
      </c>
      <c r="V9" s="181">
        <v>18596.4</v>
      </c>
      <c r="W9" s="182">
        <v>18573.5</v>
      </c>
      <c r="X9" s="182">
        <v>18589</v>
      </c>
    </row>
    <row r="10" spans="1:24" ht="15">
      <c r="A10" s="24" t="s">
        <v>9</v>
      </c>
      <c r="B10" s="35">
        <f aca="true" t="shared" si="5" ref="B10:M10">SUM(B11:B13)</f>
        <v>25285.5</v>
      </c>
      <c r="C10" s="36">
        <f t="shared" si="5"/>
        <v>33776.4</v>
      </c>
      <c r="D10" s="37">
        <f t="shared" si="5"/>
        <v>43793.8</v>
      </c>
      <c r="E10" s="36">
        <f t="shared" si="5"/>
        <v>51136.6</v>
      </c>
      <c r="F10" s="36">
        <f t="shared" si="5"/>
        <v>55147.299999999996</v>
      </c>
      <c r="G10" s="36">
        <f t="shared" si="5"/>
        <v>56381.8</v>
      </c>
      <c r="H10" s="36">
        <f t="shared" si="5"/>
        <v>59868.5</v>
      </c>
      <c r="I10" s="57">
        <f t="shared" si="5"/>
        <v>76149.6</v>
      </c>
      <c r="J10" s="36">
        <f t="shared" si="5"/>
        <v>100556.4</v>
      </c>
      <c r="K10" s="37">
        <f t="shared" si="5"/>
        <v>136493.8</v>
      </c>
      <c r="L10" s="57">
        <f t="shared" si="5"/>
        <v>182510.3</v>
      </c>
      <c r="M10" s="36">
        <f t="shared" si="5"/>
        <v>210388.6</v>
      </c>
      <c r="N10" s="112">
        <v>226841.9</v>
      </c>
      <c r="O10" s="35">
        <f>SUM(O11:O13)</f>
        <v>252179.75</v>
      </c>
      <c r="P10" s="141">
        <f>SUM(P11:P13)</f>
        <v>280763.8</v>
      </c>
      <c r="Q10" s="141">
        <f>SUM(Q11:Q13)</f>
        <v>299142.60000000003</v>
      </c>
      <c r="R10" s="163">
        <f>SUM(R11:R13)</f>
        <v>323039.3</v>
      </c>
      <c r="S10" s="163">
        <f>SUM(S11:S13)</f>
        <v>353015.9</v>
      </c>
      <c r="T10" s="140">
        <f>SUM(T11:T13)</f>
        <v>384965</v>
      </c>
      <c r="U10" s="183">
        <f>SUM(U11:U13)</f>
        <v>432481.5</v>
      </c>
      <c r="V10" s="183">
        <f>SUM(V11:V13)</f>
        <v>443714.6</v>
      </c>
      <c r="W10" s="184">
        <f>SUM(W11:W13)</f>
        <v>450939.39999999997</v>
      </c>
      <c r="X10" s="184">
        <f>SUM(X11:X13)</f>
        <v>462847.7</v>
      </c>
    </row>
    <row r="11" spans="1:24" ht="14.25">
      <c r="A11" s="28" t="s">
        <v>10</v>
      </c>
      <c r="B11" s="29">
        <v>8783.5</v>
      </c>
      <c r="C11" s="30">
        <v>11705.8</v>
      </c>
      <c r="D11" s="31">
        <v>14921.6</v>
      </c>
      <c r="E11" s="32">
        <v>17372.3</v>
      </c>
      <c r="F11" s="33">
        <v>16851.6</v>
      </c>
      <c r="G11" s="34">
        <v>17779.9</v>
      </c>
      <c r="H11" s="33">
        <v>15774.3</v>
      </c>
      <c r="I11" s="33">
        <v>16207.6</v>
      </c>
      <c r="J11" s="34">
        <v>20533.5</v>
      </c>
      <c r="K11" s="32">
        <v>34634.1</v>
      </c>
      <c r="L11" s="78">
        <v>52719.3</v>
      </c>
      <c r="M11" s="79">
        <v>63551.4</v>
      </c>
      <c r="N11" s="111">
        <v>65786.4</v>
      </c>
      <c r="O11" s="123">
        <v>65415.4</v>
      </c>
      <c r="P11" s="139">
        <v>60926.1</v>
      </c>
      <c r="Q11" s="139">
        <v>55094.5</v>
      </c>
      <c r="R11" s="157">
        <v>52539.1</v>
      </c>
      <c r="S11" s="157">
        <v>47801.5</v>
      </c>
      <c r="T11" s="138">
        <v>39764.8</v>
      </c>
      <c r="U11" s="181">
        <v>33779.3</v>
      </c>
      <c r="V11" s="181">
        <v>33775.7</v>
      </c>
      <c r="W11" s="182">
        <v>34830.5</v>
      </c>
      <c r="X11" s="182">
        <v>35832.1</v>
      </c>
    </row>
    <row r="12" spans="1:24" ht="14.25">
      <c r="A12" s="28" t="s">
        <v>11</v>
      </c>
      <c r="B12" s="29">
        <v>2314.4</v>
      </c>
      <c r="C12" s="30">
        <v>2745.2</v>
      </c>
      <c r="D12" s="31">
        <v>3078.8</v>
      </c>
      <c r="E12" s="32">
        <v>2566.5</v>
      </c>
      <c r="F12" s="33">
        <v>1968.5</v>
      </c>
      <c r="G12" s="34">
        <v>1209.4</v>
      </c>
      <c r="H12" s="33">
        <v>655.4</v>
      </c>
      <c r="I12" s="33">
        <v>374</v>
      </c>
      <c r="J12" s="34">
        <v>312.9</v>
      </c>
      <c r="K12" s="32">
        <v>272.4</v>
      </c>
      <c r="L12" s="78">
        <v>287.1</v>
      </c>
      <c r="M12" s="79">
        <v>203.8</v>
      </c>
      <c r="N12" s="111">
        <v>193.2</v>
      </c>
      <c r="O12" s="123">
        <v>195.05</v>
      </c>
      <c r="P12" s="139">
        <v>184.2</v>
      </c>
      <c r="Q12" s="139">
        <v>171.9</v>
      </c>
      <c r="R12" s="157">
        <v>166.7</v>
      </c>
      <c r="S12" s="157">
        <v>144.7</v>
      </c>
      <c r="T12" s="138">
        <v>79.1</v>
      </c>
      <c r="U12" s="181">
        <v>75.1</v>
      </c>
      <c r="V12" s="181">
        <v>74.8</v>
      </c>
      <c r="W12" s="182">
        <v>75.3</v>
      </c>
      <c r="X12" s="182">
        <v>75.6</v>
      </c>
    </row>
    <row r="13" spans="1:24" ht="21.75" customHeight="1">
      <c r="A13" s="28" t="s">
        <v>12</v>
      </c>
      <c r="B13" s="38">
        <v>14187.6</v>
      </c>
      <c r="C13" s="39">
        <v>19325.4</v>
      </c>
      <c r="D13" s="40">
        <v>25793.4</v>
      </c>
      <c r="E13" s="39">
        <v>31197.8</v>
      </c>
      <c r="F13" s="39">
        <v>36327.2</v>
      </c>
      <c r="G13" s="39">
        <v>37392.5</v>
      </c>
      <c r="H13" s="39">
        <v>43438.8</v>
      </c>
      <c r="I13" s="80">
        <v>59568</v>
      </c>
      <c r="J13" s="39">
        <v>79710</v>
      </c>
      <c r="K13" s="81">
        <v>101587.3</v>
      </c>
      <c r="L13" s="78">
        <v>129503.9</v>
      </c>
      <c r="M13" s="79">
        <v>146633.4</v>
      </c>
      <c r="N13" s="111">
        <v>160862.3</v>
      </c>
      <c r="O13" s="124">
        <v>186569.3</v>
      </c>
      <c r="P13" s="143">
        <v>219653.5</v>
      </c>
      <c r="Q13" s="143">
        <v>243876.2</v>
      </c>
      <c r="R13" s="164">
        <v>270333.5</v>
      </c>
      <c r="S13" s="164">
        <v>305069.7</v>
      </c>
      <c r="T13" s="142">
        <v>345121.1</v>
      </c>
      <c r="U13" s="185">
        <v>398627.1</v>
      </c>
      <c r="V13" s="185">
        <v>409864.1</v>
      </c>
      <c r="W13" s="186">
        <v>416033.6</v>
      </c>
      <c r="X13" s="186">
        <v>426940</v>
      </c>
    </row>
    <row r="14" spans="1:24" ht="16.5" customHeight="1">
      <c r="A14" s="41" t="s">
        <v>13</v>
      </c>
      <c r="B14" s="35">
        <f aca="true" t="shared" si="6" ref="B14:M14">SUM(B15:B22)</f>
        <v>25285.5</v>
      </c>
      <c r="C14" s="36">
        <f t="shared" si="6"/>
        <v>33776.4</v>
      </c>
      <c r="D14" s="37">
        <f t="shared" si="6"/>
        <v>43793.8</v>
      </c>
      <c r="E14" s="36">
        <f t="shared" si="6"/>
        <v>51136.600000000006</v>
      </c>
      <c r="F14" s="36">
        <f t="shared" si="6"/>
        <v>55147.299999999996</v>
      </c>
      <c r="G14" s="36">
        <f t="shared" si="6"/>
        <v>56381.799999999996</v>
      </c>
      <c r="H14" s="36">
        <f t="shared" si="6"/>
        <v>59868.5</v>
      </c>
      <c r="I14" s="82">
        <f t="shared" si="6"/>
        <v>76149.59999999999</v>
      </c>
      <c r="J14" s="83">
        <f t="shared" si="6"/>
        <v>100556.4</v>
      </c>
      <c r="K14" s="84">
        <f t="shared" si="6"/>
        <v>136493.8</v>
      </c>
      <c r="L14" s="82">
        <f t="shared" si="6"/>
        <v>182510.30000000002</v>
      </c>
      <c r="M14" s="83">
        <f t="shared" si="6"/>
        <v>210388.58</v>
      </c>
      <c r="N14" s="113">
        <v>226841.9</v>
      </c>
      <c r="O14" s="125">
        <f>SUM(O15:O22)</f>
        <v>252179.8</v>
      </c>
      <c r="P14" s="145">
        <f>SUM(P15:P22)</f>
        <v>280763.8</v>
      </c>
      <c r="Q14" s="145">
        <f>SUM(Q15:Q22)</f>
        <v>299142.60000000003</v>
      </c>
      <c r="R14" s="165">
        <f>SUM(R15:R22)</f>
        <v>323039.3</v>
      </c>
      <c r="S14" s="165">
        <f>SUM(S15:S22)</f>
        <v>353015.9</v>
      </c>
      <c r="T14" s="144">
        <f>T15+T16+T17+T18+T19+T20+T21+T22</f>
        <v>384965</v>
      </c>
      <c r="U14" s="187">
        <f>SUM(U15:U22)</f>
        <v>432481.5</v>
      </c>
      <c r="V14" s="187">
        <f>SUM(V15:V22)</f>
        <v>443714.6</v>
      </c>
      <c r="W14" s="188">
        <f>SUM(W15:W22)</f>
        <v>450939.39999999997</v>
      </c>
      <c r="X14" s="188">
        <f>SUM(X15:X22)</f>
        <v>462847.7</v>
      </c>
    </row>
    <row r="15" spans="1:24" ht="21.75" customHeight="1">
      <c r="A15" s="42" t="s">
        <v>14</v>
      </c>
      <c r="B15" s="38">
        <f>2429.4+845.2</f>
        <v>3274.6000000000004</v>
      </c>
      <c r="C15" s="30">
        <v>4779.3</v>
      </c>
      <c r="D15" s="31">
        <v>5996.2</v>
      </c>
      <c r="E15" s="32">
        <v>4325.8</v>
      </c>
      <c r="F15" s="33">
        <v>6027.6</v>
      </c>
      <c r="G15" s="34">
        <f>1339</f>
        <v>1339</v>
      </c>
      <c r="H15" s="33">
        <f>1086</f>
        <v>1086</v>
      </c>
      <c r="I15" s="33">
        <v>2514.4</v>
      </c>
      <c r="J15" s="34">
        <v>8106.9</v>
      </c>
      <c r="K15" s="32">
        <v>23432.2</v>
      </c>
      <c r="L15" s="78">
        <v>32659.2</v>
      </c>
      <c r="M15" s="79">
        <v>33743.8</v>
      </c>
      <c r="N15" s="111">
        <v>27262.6</v>
      </c>
      <c r="O15" s="123">
        <v>10298.1</v>
      </c>
      <c r="P15" s="139">
        <v>10793.4</v>
      </c>
      <c r="Q15" s="139">
        <v>9176.1</v>
      </c>
      <c r="R15" s="157">
        <v>11988.5</v>
      </c>
      <c r="S15" s="157">
        <v>8428.6</v>
      </c>
      <c r="T15" s="138">
        <v>3997</v>
      </c>
      <c r="U15" s="138">
        <v>1660.4</v>
      </c>
      <c r="V15" s="138">
        <v>1959.6</v>
      </c>
      <c r="W15" s="189">
        <v>2386.1</v>
      </c>
      <c r="X15" s="189">
        <v>2708.5</v>
      </c>
    </row>
    <row r="16" spans="1:24" ht="18.75" customHeight="1">
      <c r="A16" s="42" t="s">
        <v>15</v>
      </c>
      <c r="B16" s="38">
        <v>0</v>
      </c>
      <c r="C16" s="30">
        <v>0</v>
      </c>
      <c r="D16" s="31">
        <v>0</v>
      </c>
      <c r="E16" s="32">
        <v>0</v>
      </c>
      <c r="F16" s="33">
        <v>0</v>
      </c>
      <c r="G16" s="34">
        <v>0</v>
      </c>
      <c r="H16" s="33">
        <v>0</v>
      </c>
      <c r="I16" s="33">
        <v>0</v>
      </c>
      <c r="J16" s="34">
        <v>1825</v>
      </c>
      <c r="K16" s="32">
        <v>0</v>
      </c>
      <c r="L16" s="78">
        <v>0</v>
      </c>
      <c r="M16" s="79">
        <v>2200</v>
      </c>
      <c r="N16" s="111">
        <v>0</v>
      </c>
      <c r="O16" s="123">
        <v>0</v>
      </c>
      <c r="P16" s="139">
        <v>0</v>
      </c>
      <c r="Q16" s="139">
        <v>0</v>
      </c>
      <c r="R16" s="157">
        <v>0</v>
      </c>
      <c r="S16" s="157">
        <v>0</v>
      </c>
      <c r="T16" s="138">
        <v>0</v>
      </c>
      <c r="U16" s="138">
        <v>0</v>
      </c>
      <c r="V16" s="138">
        <v>0</v>
      </c>
      <c r="W16" s="189">
        <v>0</v>
      </c>
      <c r="X16" s="189">
        <v>3501.5</v>
      </c>
    </row>
    <row r="17" spans="1:24" ht="19.5" customHeight="1">
      <c r="A17" s="42" t="s">
        <v>16</v>
      </c>
      <c r="B17" s="38">
        <f>393.8+2317.8</f>
        <v>2711.6000000000004</v>
      </c>
      <c r="C17" s="30">
        <f>1053.3+1648.4</f>
        <v>2701.7</v>
      </c>
      <c r="D17" s="31">
        <f>1874.2+755.8</f>
        <v>2630</v>
      </c>
      <c r="E17" s="32">
        <f>2666.4+108.3</f>
        <v>2774.7000000000003</v>
      </c>
      <c r="F17" s="33">
        <f>2414.2+80.4</f>
        <v>2494.6</v>
      </c>
      <c r="G17" s="34">
        <f>4426.7+55.2</f>
        <v>4481.9</v>
      </c>
      <c r="H17" s="33">
        <f>3119.1+18.8</f>
        <v>3137.9</v>
      </c>
      <c r="I17" s="33">
        <v>6885.4</v>
      </c>
      <c r="J17" s="34">
        <v>9505.7</v>
      </c>
      <c r="K17" s="32">
        <v>23146.2</v>
      </c>
      <c r="L17" s="78">
        <v>34021.4</v>
      </c>
      <c r="M17" s="79">
        <v>50110</v>
      </c>
      <c r="N17" s="111">
        <v>72929.1</v>
      </c>
      <c r="O17" s="123">
        <v>98137.6</v>
      </c>
      <c r="P17" s="139">
        <v>102920.4</v>
      </c>
      <c r="Q17" s="139">
        <v>109073.3</v>
      </c>
      <c r="R17" s="157">
        <v>116630</v>
      </c>
      <c r="S17" s="157">
        <v>131343.1</v>
      </c>
      <c r="T17" s="138">
        <v>158393.7</v>
      </c>
      <c r="U17" s="138">
        <v>182760.1</v>
      </c>
      <c r="V17" s="138">
        <v>188031.3</v>
      </c>
      <c r="W17" s="189">
        <v>185669.9</v>
      </c>
      <c r="X17" s="189">
        <v>190548.6</v>
      </c>
    </row>
    <row r="18" spans="1:24" ht="19.5" customHeight="1">
      <c r="A18" s="42" t="s">
        <v>17</v>
      </c>
      <c r="B18" s="38"/>
      <c r="C18" s="30"/>
      <c r="D18" s="31"/>
      <c r="E18" s="32"/>
      <c r="F18" s="33"/>
      <c r="G18" s="34"/>
      <c r="H18" s="33"/>
      <c r="I18" s="33"/>
      <c r="J18" s="34"/>
      <c r="K18" s="32"/>
      <c r="L18" s="78"/>
      <c r="M18" s="79"/>
      <c r="N18" s="111"/>
      <c r="O18" s="123"/>
      <c r="P18" s="139"/>
      <c r="Q18" s="139"/>
      <c r="R18" s="157"/>
      <c r="S18" s="157"/>
      <c r="T18" s="138"/>
      <c r="U18" s="138">
        <v>5240.5</v>
      </c>
      <c r="V18" s="138">
        <v>5240.5</v>
      </c>
      <c r="W18" s="189">
        <v>5253</v>
      </c>
      <c r="X18" s="189">
        <v>5105.8</v>
      </c>
    </row>
    <row r="19" spans="1:24" ht="19.5" customHeight="1">
      <c r="A19" s="43" t="s">
        <v>18</v>
      </c>
      <c r="B19" s="38">
        <v>1521.8</v>
      </c>
      <c r="C19" s="30">
        <v>3782.9</v>
      </c>
      <c r="D19" s="31">
        <v>6110.8</v>
      </c>
      <c r="E19" s="32">
        <v>10073.7</v>
      </c>
      <c r="F19" s="33">
        <v>9717.4</v>
      </c>
      <c r="G19" s="34">
        <v>7354.2</v>
      </c>
      <c r="H19" s="33">
        <v>6763.4</v>
      </c>
      <c r="I19" s="33">
        <v>7220.4</v>
      </c>
      <c r="J19" s="34">
        <v>8569.9</v>
      </c>
      <c r="K19" s="32">
        <v>9093.6</v>
      </c>
      <c r="L19" s="78">
        <v>10497.8</v>
      </c>
      <c r="M19" s="79">
        <v>17062.84</v>
      </c>
      <c r="N19" s="111">
        <v>31912.3</v>
      </c>
      <c r="O19" s="123">
        <v>45841.9</v>
      </c>
      <c r="P19" s="139">
        <v>67140.9</v>
      </c>
      <c r="Q19" s="139">
        <v>74749.9</v>
      </c>
      <c r="R19" s="157">
        <v>83778.3</v>
      </c>
      <c r="S19" s="157">
        <v>95766.3</v>
      </c>
      <c r="T19" s="138">
        <v>111320.4</v>
      </c>
      <c r="U19" s="138">
        <v>131382.6</v>
      </c>
      <c r="V19" s="138">
        <v>146157.7</v>
      </c>
      <c r="W19" s="189">
        <v>147206.3</v>
      </c>
      <c r="X19" s="189">
        <v>147774.2</v>
      </c>
    </row>
    <row r="20" spans="1:24" ht="19.5" customHeight="1">
      <c r="A20" s="42" t="s">
        <v>19</v>
      </c>
      <c r="B20" s="38">
        <v>0</v>
      </c>
      <c r="C20" s="30">
        <v>0</v>
      </c>
      <c r="D20" s="31">
        <v>0</v>
      </c>
      <c r="E20" s="32">
        <v>0</v>
      </c>
      <c r="F20" s="33">
        <v>0</v>
      </c>
      <c r="G20" s="34">
        <v>0</v>
      </c>
      <c r="H20" s="33">
        <v>0</v>
      </c>
      <c r="I20" s="33">
        <v>268.6</v>
      </c>
      <c r="J20" s="34">
        <v>243.5</v>
      </c>
      <c r="K20" s="32">
        <v>79.2</v>
      </c>
      <c r="L20" s="78">
        <v>63</v>
      </c>
      <c r="M20" s="79">
        <v>8.34</v>
      </c>
      <c r="N20" s="111">
        <v>0</v>
      </c>
      <c r="O20" s="123">
        <v>0</v>
      </c>
      <c r="P20" s="139">
        <v>0</v>
      </c>
      <c r="Q20" s="139">
        <v>0</v>
      </c>
      <c r="R20" s="157">
        <v>0</v>
      </c>
      <c r="S20" s="157">
        <v>0</v>
      </c>
      <c r="T20" s="138">
        <v>0</v>
      </c>
      <c r="U20" s="138">
        <v>0</v>
      </c>
      <c r="V20" s="138">
        <v>0</v>
      </c>
      <c r="W20" s="189">
        <v>0</v>
      </c>
      <c r="X20" s="189">
        <v>0</v>
      </c>
    </row>
    <row r="21" spans="1:24" ht="18.75" customHeight="1">
      <c r="A21" s="28" t="s">
        <v>20</v>
      </c>
      <c r="B21" s="38">
        <v>16393.5</v>
      </c>
      <c r="C21" s="39">
        <v>20870.7</v>
      </c>
      <c r="D21" s="40">
        <v>26885.4</v>
      </c>
      <c r="E21" s="39">
        <v>30348.6</v>
      </c>
      <c r="F21" s="39">
        <v>33278.2</v>
      </c>
      <c r="G21" s="39">
        <v>35162.1</v>
      </c>
      <c r="H21" s="39">
        <v>29042</v>
      </c>
      <c r="I21" s="80">
        <v>29853</v>
      </c>
      <c r="J21" s="39">
        <v>32710.7</v>
      </c>
      <c r="K21" s="81">
        <v>52608.2</v>
      </c>
      <c r="L21" s="78">
        <v>73832.2</v>
      </c>
      <c r="M21" s="79">
        <v>75418.5</v>
      </c>
      <c r="N21" s="111">
        <v>78572.3</v>
      </c>
      <c r="O21" s="123">
        <v>78746.4</v>
      </c>
      <c r="P21" s="139">
        <v>74989.5</v>
      </c>
      <c r="Q21" s="139">
        <v>70624.1</v>
      </c>
      <c r="R21" s="157">
        <v>69011.2</v>
      </c>
      <c r="S21" s="157">
        <v>65043.5</v>
      </c>
      <c r="T21" s="138">
        <v>57407</v>
      </c>
      <c r="U21" s="138">
        <v>52084.5</v>
      </c>
      <c r="V21" s="138">
        <v>52074.6</v>
      </c>
      <c r="W21" s="189">
        <v>53111.5</v>
      </c>
      <c r="X21" s="189">
        <v>54141.4</v>
      </c>
    </row>
    <row r="22" spans="1:24" ht="19.5" customHeight="1">
      <c r="A22" s="42" t="s">
        <v>21</v>
      </c>
      <c r="B22" s="38">
        <v>1384</v>
      </c>
      <c r="C22" s="30">
        <v>1641.8</v>
      </c>
      <c r="D22" s="31">
        <v>2171.4</v>
      </c>
      <c r="E22" s="32">
        <v>3613.8</v>
      </c>
      <c r="F22" s="33">
        <v>3629.5</v>
      </c>
      <c r="G22" s="34">
        <v>8044.6</v>
      </c>
      <c r="H22" s="33">
        <v>19839.2</v>
      </c>
      <c r="I22" s="33">
        <v>29407.8</v>
      </c>
      <c r="J22" s="34">
        <v>39594.7</v>
      </c>
      <c r="K22" s="32">
        <v>28134.4</v>
      </c>
      <c r="L22" s="78">
        <v>31436.7</v>
      </c>
      <c r="M22" s="100">
        <v>31845.1</v>
      </c>
      <c r="N22" s="114">
        <v>16165.6</v>
      </c>
      <c r="O22" s="123">
        <v>19155.8</v>
      </c>
      <c r="P22" s="139">
        <v>24919.6</v>
      </c>
      <c r="Q22" s="139">
        <v>35519.2</v>
      </c>
      <c r="R22" s="157">
        <v>41631.3</v>
      </c>
      <c r="S22" s="157">
        <v>52434.4</v>
      </c>
      <c r="T22" s="138">
        <v>53846.9</v>
      </c>
      <c r="U22" s="138">
        <v>59353.4</v>
      </c>
      <c r="V22" s="138">
        <v>50250.9</v>
      </c>
      <c r="W22" s="189">
        <v>57312.6</v>
      </c>
      <c r="X22" s="189">
        <v>59067.7</v>
      </c>
    </row>
    <row r="23" spans="1:24" ht="15">
      <c r="A23" s="41" t="s">
        <v>22</v>
      </c>
      <c r="B23" s="44">
        <f aca="true" t="shared" si="7" ref="B23:M23">SUM(B24:B39)</f>
        <v>25285.539999999997</v>
      </c>
      <c r="C23" s="45">
        <f t="shared" si="7"/>
        <v>33776.359149</v>
      </c>
      <c r="D23" s="46">
        <f t="shared" si="7"/>
        <v>43793.793999999994</v>
      </c>
      <c r="E23" s="45">
        <f t="shared" si="7"/>
        <v>51136.57999999999</v>
      </c>
      <c r="F23" s="45">
        <f t="shared" si="7"/>
        <v>55147.34</v>
      </c>
      <c r="G23" s="45">
        <f t="shared" si="7"/>
        <v>56381.83</v>
      </c>
      <c r="H23" s="45">
        <f t="shared" si="7"/>
        <v>59868.54558</v>
      </c>
      <c r="I23" s="85">
        <f t="shared" si="7"/>
        <v>76149.63</v>
      </c>
      <c r="J23" s="45">
        <f t="shared" si="7"/>
        <v>100556.44</v>
      </c>
      <c r="K23" s="46">
        <f t="shared" si="7"/>
        <v>136493.84000000003</v>
      </c>
      <c r="L23" s="85">
        <f t="shared" si="7"/>
        <v>182510.28999999998</v>
      </c>
      <c r="M23" s="45">
        <f t="shared" si="7"/>
        <v>210388.63039999997</v>
      </c>
      <c r="N23" s="116">
        <v>226841.9</v>
      </c>
      <c r="O23" s="44">
        <f>SUM(O24:O39)</f>
        <v>252179.80000000002</v>
      </c>
      <c r="P23" s="147">
        <f>SUM(P24:P39)</f>
        <v>280763.8</v>
      </c>
      <c r="Q23" s="147">
        <f>SUM(Q24:Q39)</f>
        <v>299142.6</v>
      </c>
      <c r="R23" s="166">
        <f>SUM(R24:R39)</f>
        <v>323039.3</v>
      </c>
      <c r="S23" s="166">
        <f>SUM(S24:S39)</f>
        <v>353015.85000000003</v>
      </c>
      <c r="T23" s="146">
        <f>T24+T25+T26+T27+T28+T29+T30+T31+T32+T33+T34+T35+T36+T37+T38+T39</f>
        <v>384965</v>
      </c>
      <c r="U23" s="146">
        <f>SUM(U24:U39)</f>
        <v>432481.5</v>
      </c>
      <c r="V23" s="146">
        <f>SUM(V24:V39)</f>
        <v>443714.6</v>
      </c>
      <c r="W23" s="190">
        <f>SUM(W24:W39)</f>
        <v>450939.3999999999</v>
      </c>
      <c r="X23" s="190">
        <f>SUM(X24:X39)</f>
        <v>462847.69999999995</v>
      </c>
    </row>
    <row r="24" spans="1:24" ht="14.25">
      <c r="A24" s="43" t="s">
        <v>23</v>
      </c>
      <c r="B24" s="47">
        <v>6422.7</v>
      </c>
      <c r="C24" s="34">
        <v>7781.8</v>
      </c>
      <c r="D24" s="31">
        <v>9233.6</v>
      </c>
      <c r="E24" s="32">
        <v>9245.2</v>
      </c>
      <c r="F24" s="33">
        <v>11180.2</v>
      </c>
      <c r="G24" s="34">
        <v>12908</v>
      </c>
      <c r="H24" s="33">
        <v>24461.8</v>
      </c>
      <c r="I24" s="33">
        <f>40473.6+26.6</f>
        <v>40500.2</v>
      </c>
      <c r="J24" s="34">
        <v>60024.77</v>
      </c>
      <c r="K24" s="32">
        <v>64302</v>
      </c>
      <c r="L24" s="78">
        <v>82628.67</v>
      </c>
      <c r="M24" s="90">
        <v>101241.2</v>
      </c>
      <c r="N24" s="111">
        <v>99439.1</v>
      </c>
      <c r="O24" s="122">
        <v>111762.1</v>
      </c>
      <c r="P24" s="137">
        <v>126434.7</v>
      </c>
      <c r="Q24" s="137">
        <v>148073.45</v>
      </c>
      <c r="R24" s="162">
        <v>170139.4</v>
      </c>
      <c r="S24" s="162">
        <v>192055</v>
      </c>
      <c r="T24" s="136">
        <v>214671.6</v>
      </c>
      <c r="U24" s="136">
        <v>245191.6</v>
      </c>
      <c r="V24" s="136">
        <v>241699.9</v>
      </c>
      <c r="W24" s="191">
        <v>246701.9</v>
      </c>
      <c r="X24" s="191">
        <v>257042.9</v>
      </c>
    </row>
    <row r="25" spans="1:24" ht="14.25">
      <c r="A25" s="43" t="s">
        <v>24</v>
      </c>
      <c r="B25" s="29">
        <f>(6269.8+3677)+998.4</f>
        <v>10945.199999999999</v>
      </c>
      <c r="C25" s="30">
        <f>5187.6+7520+1395.8</f>
        <v>14103.4</v>
      </c>
      <c r="D25" s="31">
        <f>8103.14+6547.9+2527.6</f>
        <v>17178.64</v>
      </c>
      <c r="E25" s="32">
        <f>6714.65+7577.9+1982.86</f>
        <v>16275.41</v>
      </c>
      <c r="F25" s="33">
        <f>6520.9+7562.15+3061.7</f>
        <v>17144.75</v>
      </c>
      <c r="G25" s="34">
        <f>6653.49+7494.9+3178.8</f>
        <v>17327.19</v>
      </c>
      <c r="H25" s="33">
        <f>5047.16+4330.73+1358.3</f>
        <v>10736.189999999999</v>
      </c>
      <c r="I25" s="33">
        <f>1243.9+8060.91+2.6</f>
        <v>9307.41</v>
      </c>
      <c r="J25" s="34">
        <f>1417.3+7810.21</f>
        <v>9227.51</v>
      </c>
      <c r="K25" s="32">
        <f>1484.3+7144.76</f>
        <v>8629.06</v>
      </c>
      <c r="L25" s="78">
        <v>8458.15</v>
      </c>
      <c r="M25" s="90">
        <v>6091.65</v>
      </c>
      <c r="N25" s="111">
        <v>12661.8</v>
      </c>
      <c r="O25" s="123">
        <v>16269.2</v>
      </c>
      <c r="P25" s="139">
        <v>24796.2</v>
      </c>
      <c r="Q25" s="139">
        <v>26858.85</v>
      </c>
      <c r="R25" s="157">
        <v>26930.6</v>
      </c>
      <c r="S25" s="157">
        <v>23667.6</v>
      </c>
      <c r="T25" s="138">
        <v>28225.3</v>
      </c>
      <c r="U25" s="138">
        <v>29134.4</v>
      </c>
      <c r="V25" s="138">
        <v>29613.6</v>
      </c>
      <c r="W25" s="189">
        <v>29770.9</v>
      </c>
      <c r="X25" s="189">
        <v>30020.1</v>
      </c>
    </row>
    <row r="26" spans="1:24" ht="14.25">
      <c r="A26" s="43" t="s">
        <v>25</v>
      </c>
      <c r="B26" s="29">
        <f>1297.1+503.45+31.8</f>
        <v>1832.35</v>
      </c>
      <c r="C26" s="30">
        <f>476.5+172.83+7.8</f>
        <v>657.13</v>
      </c>
      <c r="D26" s="31">
        <v>0</v>
      </c>
      <c r="E26" s="32">
        <v>0</v>
      </c>
      <c r="F26" s="33">
        <v>0</v>
      </c>
      <c r="G26" s="34">
        <v>0</v>
      </c>
      <c r="H26" s="33">
        <v>0</v>
      </c>
      <c r="I26" s="33">
        <v>0</v>
      </c>
      <c r="J26" s="34">
        <v>0</v>
      </c>
      <c r="K26" s="32">
        <v>0</v>
      </c>
      <c r="L26" s="78">
        <v>0</v>
      </c>
      <c r="M26" s="90">
        <v>0</v>
      </c>
      <c r="N26" s="111">
        <v>0</v>
      </c>
      <c r="O26" s="123">
        <v>0</v>
      </c>
      <c r="P26" s="139">
        <v>0</v>
      </c>
      <c r="Q26" s="139">
        <v>0</v>
      </c>
      <c r="R26" s="157">
        <v>0</v>
      </c>
      <c r="S26" s="157">
        <v>0</v>
      </c>
      <c r="T26" s="138">
        <v>0</v>
      </c>
      <c r="U26" s="138">
        <v>0</v>
      </c>
      <c r="V26" s="138">
        <v>0</v>
      </c>
      <c r="W26" s="189">
        <v>0</v>
      </c>
      <c r="X26" s="189">
        <v>0</v>
      </c>
    </row>
    <row r="27" spans="1:24" ht="14.25">
      <c r="A27" s="43" t="s">
        <v>26</v>
      </c>
      <c r="B27" s="29">
        <f>611.3+2091.7</f>
        <v>2703</v>
      </c>
      <c r="C27" s="30">
        <f>1615.48+6563.6</f>
        <v>8179.08</v>
      </c>
      <c r="D27" s="31">
        <f>11023.5+3644.3</f>
        <v>14667.8</v>
      </c>
      <c r="E27" s="32">
        <f>16152.2+4987.9+282.1</f>
        <v>21422.199999999997</v>
      </c>
      <c r="F27" s="33">
        <f>16598.76+6083.3+169.5</f>
        <v>22851.559999999998</v>
      </c>
      <c r="G27" s="34">
        <f>6694.27+15240.31+41</f>
        <v>21975.58</v>
      </c>
      <c r="H27" s="33">
        <f>6871.14+14451.04+7.1</f>
        <v>21329.28</v>
      </c>
      <c r="I27" s="33">
        <f>156.9+23201.91</f>
        <v>23358.81</v>
      </c>
      <c r="J27" s="34">
        <f>168.6+27934.15</f>
        <v>28102.75</v>
      </c>
      <c r="K27" s="32">
        <f>18697.3+37948.8</f>
        <v>56646.100000000006</v>
      </c>
      <c r="L27" s="78">
        <v>78118.8</v>
      </c>
      <c r="M27" s="90">
        <v>89349.75</v>
      </c>
      <c r="N27" s="111">
        <v>101873.7</v>
      </c>
      <c r="O27" s="123">
        <v>116459.1</v>
      </c>
      <c r="P27" s="139">
        <v>126304.5</v>
      </c>
      <c r="Q27" s="139">
        <v>121707.9</v>
      </c>
      <c r="R27" s="157">
        <v>123498.2</v>
      </c>
      <c r="S27" s="157">
        <v>135165.7</v>
      </c>
      <c r="T27" s="138">
        <v>140026.4</v>
      </c>
      <c r="U27" s="138">
        <v>156179.1</v>
      </c>
      <c r="V27" s="138">
        <v>170401.1</v>
      </c>
      <c r="W27" s="189">
        <v>172469.9</v>
      </c>
      <c r="X27" s="189">
        <v>173819.1</v>
      </c>
    </row>
    <row r="28" spans="1:24" ht="14.25">
      <c r="A28" s="43" t="s">
        <v>27</v>
      </c>
      <c r="B28" s="29">
        <f>919.7+230.7</f>
        <v>1150.4</v>
      </c>
      <c r="C28" s="30">
        <f>1098.95+122.1</f>
        <v>1221.05</v>
      </c>
      <c r="D28" s="31">
        <v>1425.81</v>
      </c>
      <c r="E28" s="32">
        <v>1951.5</v>
      </c>
      <c r="F28" s="33">
        <v>1287.6</v>
      </c>
      <c r="G28" s="34">
        <v>810.9</v>
      </c>
      <c r="H28" s="33">
        <v>331.5</v>
      </c>
      <c r="I28" s="33">
        <v>35.43</v>
      </c>
      <c r="J28" s="34">
        <f>35.96-15.5</f>
        <v>20.46</v>
      </c>
      <c r="K28" s="32">
        <v>3984.67</v>
      </c>
      <c r="L28" s="78">
        <v>9645.9</v>
      </c>
      <c r="M28" s="90">
        <v>9977</v>
      </c>
      <c r="N28" s="111">
        <v>9522.3</v>
      </c>
      <c r="O28" s="123">
        <v>5047.7</v>
      </c>
      <c r="P28" s="139">
        <v>743.6</v>
      </c>
      <c r="Q28" s="139">
        <v>14.3</v>
      </c>
      <c r="R28" s="157">
        <v>9.6</v>
      </c>
      <c r="S28" s="157">
        <v>0</v>
      </c>
      <c r="T28" s="138">
        <v>0</v>
      </c>
      <c r="U28" s="138">
        <v>0</v>
      </c>
      <c r="V28" s="138">
        <v>0</v>
      </c>
      <c r="W28" s="189">
        <v>0</v>
      </c>
      <c r="X28" s="189">
        <v>0</v>
      </c>
    </row>
    <row r="29" spans="1:24" ht="14.25">
      <c r="A29" s="43" t="s">
        <v>28</v>
      </c>
      <c r="B29" s="29">
        <f>159.9+84.97</f>
        <v>244.87</v>
      </c>
      <c r="C29" s="30">
        <f>60.367+404.82</f>
        <v>465.187</v>
      </c>
      <c r="D29" s="31">
        <f>71.9+519.6</f>
        <v>591.5</v>
      </c>
      <c r="E29" s="32">
        <f>409.5+188.96</f>
        <v>598.46</v>
      </c>
      <c r="F29" s="33">
        <f>174.9+376.5</f>
        <v>551.4</v>
      </c>
      <c r="G29" s="34">
        <f>149.9+319.4</f>
        <v>469.29999999999995</v>
      </c>
      <c r="H29" s="33">
        <f>121.91+240.22</f>
        <v>362.13</v>
      </c>
      <c r="I29" s="33">
        <f>127.31+200.04</f>
        <v>327.35</v>
      </c>
      <c r="J29" s="34">
        <f>193.57+113.21</f>
        <v>306.78</v>
      </c>
      <c r="K29" s="32">
        <f>78.54+157</f>
        <v>235.54000000000002</v>
      </c>
      <c r="L29" s="78">
        <v>180.01</v>
      </c>
      <c r="M29" s="90">
        <v>138.2304</v>
      </c>
      <c r="N29" s="111">
        <v>101.2</v>
      </c>
      <c r="O29" s="123">
        <v>82.3</v>
      </c>
      <c r="P29" s="139">
        <v>65</v>
      </c>
      <c r="Q29" s="139">
        <v>51.9</v>
      </c>
      <c r="R29" s="157">
        <v>31</v>
      </c>
      <c r="S29" s="157">
        <v>17.7</v>
      </c>
      <c r="T29" s="138">
        <v>6.2</v>
      </c>
      <c r="U29" s="138">
        <v>0</v>
      </c>
      <c r="V29" s="138">
        <v>0</v>
      </c>
      <c r="W29" s="189">
        <v>0</v>
      </c>
      <c r="X29" s="189">
        <v>0</v>
      </c>
    </row>
    <row r="30" spans="1:24" ht="14.25">
      <c r="A30" s="43" t="s">
        <v>29</v>
      </c>
      <c r="B30" s="29">
        <f>403.11+128.5</f>
        <v>531.61</v>
      </c>
      <c r="C30" s="30">
        <f>286.43+137.43</f>
        <v>423.86</v>
      </c>
      <c r="D30" s="31">
        <v>0</v>
      </c>
      <c r="E30" s="32">
        <v>0</v>
      </c>
      <c r="F30" s="33">
        <v>0</v>
      </c>
      <c r="G30" s="34">
        <v>0</v>
      </c>
      <c r="H30" s="33">
        <v>0</v>
      </c>
      <c r="I30" s="33">
        <v>0</v>
      </c>
      <c r="J30" s="34">
        <v>0</v>
      </c>
      <c r="K30" s="32">
        <v>0</v>
      </c>
      <c r="L30" s="78">
        <v>0</v>
      </c>
      <c r="M30" s="90">
        <v>0</v>
      </c>
      <c r="N30" s="111">
        <v>0</v>
      </c>
      <c r="O30" s="123">
        <v>0</v>
      </c>
      <c r="P30" s="139">
        <v>0</v>
      </c>
      <c r="Q30" s="139">
        <v>0</v>
      </c>
      <c r="R30" s="157">
        <v>0</v>
      </c>
      <c r="S30" s="157">
        <v>0</v>
      </c>
      <c r="T30" s="138">
        <v>0</v>
      </c>
      <c r="U30" s="138">
        <v>0</v>
      </c>
      <c r="V30" s="138">
        <v>0</v>
      </c>
      <c r="W30" s="189">
        <v>0</v>
      </c>
      <c r="X30" s="189">
        <v>0</v>
      </c>
    </row>
    <row r="31" spans="1:24" ht="14.25">
      <c r="A31" s="43" t="s">
        <v>30</v>
      </c>
      <c r="B31" s="29">
        <v>0</v>
      </c>
      <c r="C31" s="30">
        <v>0</v>
      </c>
      <c r="D31" s="31">
        <v>0</v>
      </c>
      <c r="E31" s="32">
        <v>415.34</v>
      </c>
      <c r="F31" s="33">
        <v>562.8</v>
      </c>
      <c r="G31" s="34">
        <v>844.25</v>
      </c>
      <c r="H31" s="33">
        <v>802.81558</v>
      </c>
      <c r="I31" s="33">
        <v>887.3</v>
      </c>
      <c r="J31" s="34">
        <v>714.93</v>
      </c>
      <c r="K31" s="32">
        <v>623.19</v>
      </c>
      <c r="L31" s="78">
        <v>806.8</v>
      </c>
      <c r="M31" s="90">
        <v>750.8</v>
      </c>
      <c r="N31" s="111">
        <v>700.4</v>
      </c>
      <c r="O31" s="123">
        <v>567.9</v>
      </c>
      <c r="P31" s="139">
        <v>521.8</v>
      </c>
      <c r="Q31" s="139">
        <v>424.1</v>
      </c>
      <c r="R31" s="157">
        <v>383.6</v>
      </c>
      <c r="S31" s="157">
        <v>305.3</v>
      </c>
      <c r="T31" s="138">
        <v>229</v>
      </c>
      <c r="U31" s="138">
        <v>178.7</v>
      </c>
      <c r="V31" s="138">
        <v>178.7</v>
      </c>
      <c r="W31" s="189">
        <v>177.1</v>
      </c>
      <c r="X31" s="189">
        <v>168.8</v>
      </c>
    </row>
    <row r="32" spans="1:24" ht="14.25">
      <c r="A32" s="43" t="s">
        <v>31</v>
      </c>
      <c r="B32" s="29">
        <v>112.24</v>
      </c>
      <c r="C32" s="30">
        <v>97.3</v>
      </c>
      <c r="D32" s="31">
        <v>0</v>
      </c>
      <c r="E32" s="32">
        <v>0</v>
      </c>
      <c r="F32" s="33">
        <v>0</v>
      </c>
      <c r="G32" s="34">
        <v>0</v>
      </c>
      <c r="H32" s="33">
        <v>0</v>
      </c>
      <c r="I32" s="33">
        <v>0</v>
      </c>
      <c r="J32" s="34">
        <v>0</v>
      </c>
      <c r="K32" s="32">
        <v>0</v>
      </c>
      <c r="L32" s="78">
        <v>0</v>
      </c>
      <c r="M32" s="90">
        <v>0</v>
      </c>
      <c r="N32" s="111">
        <v>0</v>
      </c>
      <c r="O32" s="123">
        <v>0</v>
      </c>
      <c r="P32" s="139">
        <v>0</v>
      </c>
      <c r="Q32" s="139">
        <v>0</v>
      </c>
      <c r="R32" s="157">
        <v>0</v>
      </c>
      <c r="S32" s="157">
        <v>0</v>
      </c>
      <c r="T32" s="138">
        <v>0</v>
      </c>
      <c r="U32" s="138">
        <v>0</v>
      </c>
      <c r="V32" s="138">
        <v>0</v>
      </c>
      <c r="W32" s="189">
        <v>0</v>
      </c>
      <c r="X32" s="189">
        <v>0</v>
      </c>
    </row>
    <row r="33" spans="1:24" ht="14.25">
      <c r="A33" s="43" t="s">
        <v>32</v>
      </c>
      <c r="B33" s="29">
        <f>14.8+944.5</f>
        <v>959.3</v>
      </c>
      <c r="C33" s="30">
        <f>123.14+259.95</f>
        <v>383.09</v>
      </c>
      <c r="D33" s="31">
        <f>158.03+344.3</f>
        <v>502.33000000000004</v>
      </c>
      <c r="E33" s="32">
        <f>549.8+319.97</f>
        <v>869.77</v>
      </c>
      <c r="F33" s="33">
        <f>431.7+555.92</f>
        <v>987.6199999999999</v>
      </c>
      <c r="G33" s="34">
        <f>667.54+641.73</f>
        <v>1309.27</v>
      </c>
      <c r="H33" s="33">
        <f>489.64+790.32</f>
        <v>1279.96</v>
      </c>
      <c r="I33" s="33">
        <f>107.1+1203.41</f>
        <v>1310.51</v>
      </c>
      <c r="J33" s="34">
        <f>118.5+1795.48</f>
        <v>1913.98</v>
      </c>
      <c r="K33" s="32">
        <f>1818.92+85.95</f>
        <v>1904.8700000000001</v>
      </c>
      <c r="L33" s="78">
        <v>2542.56</v>
      </c>
      <c r="M33" s="90">
        <v>2840</v>
      </c>
      <c r="N33" s="111">
        <v>2543.4</v>
      </c>
      <c r="O33" s="123">
        <v>1991.5</v>
      </c>
      <c r="P33" s="139">
        <v>1898</v>
      </c>
      <c r="Q33" s="139">
        <v>2012.1</v>
      </c>
      <c r="R33" s="157">
        <v>2046.9</v>
      </c>
      <c r="S33" s="157">
        <v>1804.55</v>
      </c>
      <c r="T33" s="138">
        <v>1806.5</v>
      </c>
      <c r="U33" s="138">
        <v>1797.7</v>
      </c>
      <c r="V33" s="138">
        <v>1821.3</v>
      </c>
      <c r="W33" s="189">
        <v>1819.6</v>
      </c>
      <c r="X33" s="189">
        <v>1796.8</v>
      </c>
    </row>
    <row r="34" spans="1:24" ht="14.25">
      <c r="A34" s="43" t="s">
        <v>33</v>
      </c>
      <c r="B34" s="29">
        <v>26.6</v>
      </c>
      <c r="C34" s="30">
        <v>25.372391</v>
      </c>
      <c r="D34" s="31">
        <v>0</v>
      </c>
      <c r="E34" s="32">
        <v>0</v>
      </c>
      <c r="F34" s="33">
        <v>0</v>
      </c>
      <c r="G34" s="34">
        <v>0</v>
      </c>
      <c r="H34" s="33">
        <v>0</v>
      </c>
      <c r="I34" s="33">
        <v>0</v>
      </c>
      <c r="J34" s="34">
        <v>0</v>
      </c>
      <c r="K34" s="32">
        <v>0</v>
      </c>
      <c r="L34" s="78">
        <v>0</v>
      </c>
      <c r="M34" s="90">
        <v>0</v>
      </c>
      <c r="N34" s="111">
        <v>0</v>
      </c>
      <c r="O34" s="123">
        <v>0</v>
      </c>
      <c r="P34" s="139">
        <v>0</v>
      </c>
      <c r="Q34" s="139">
        <v>0</v>
      </c>
      <c r="R34" s="157">
        <v>0</v>
      </c>
      <c r="S34" s="157">
        <v>0</v>
      </c>
      <c r="T34" s="138">
        <v>0</v>
      </c>
      <c r="U34" s="138">
        <v>0</v>
      </c>
      <c r="V34" s="138">
        <v>0</v>
      </c>
      <c r="W34" s="189">
        <v>0</v>
      </c>
      <c r="X34" s="189">
        <v>0</v>
      </c>
    </row>
    <row r="35" spans="1:24" ht="14.25">
      <c r="A35" s="43" t="s">
        <v>34</v>
      </c>
      <c r="B35" s="29">
        <v>9.7</v>
      </c>
      <c r="C35" s="30">
        <v>6.761758</v>
      </c>
      <c r="D35" s="31">
        <v>2.814</v>
      </c>
      <c r="E35" s="32">
        <v>0</v>
      </c>
      <c r="F35" s="33">
        <v>0</v>
      </c>
      <c r="G35" s="34">
        <v>0</v>
      </c>
      <c r="H35" s="33">
        <v>0</v>
      </c>
      <c r="I35" s="33">
        <v>0</v>
      </c>
      <c r="J35" s="34">
        <v>0</v>
      </c>
      <c r="K35" s="32">
        <v>0</v>
      </c>
      <c r="L35" s="78">
        <v>0</v>
      </c>
      <c r="M35" s="90">
        <v>0</v>
      </c>
      <c r="N35" s="111">
        <v>0</v>
      </c>
      <c r="O35" s="123">
        <v>0</v>
      </c>
      <c r="P35" s="139">
        <v>0</v>
      </c>
      <c r="Q35" s="139">
        <v>0</v>
      </c>
      <c r="R35" s="157">
        <v>0</v>
      </c>
      <c r="S35" s="157">
        <v>0</v>
      </c>
      <c r="T35" s="138">
        <v>0</v>
      </c>
      <c r="U35" s="138">
        <v>0</v>
      </c>
      <c r="V35" s="138">
        <v>0</v>
      </c>
      <c r="W35" s="189">
        <v>0</v>
      </c>
      <c r="X35" s="189">
        <v>0</v>
      </c>
    </row>
    <row r="36" spans="1:24" ht="14.25">
      <c r="A36" s="43" t="s">
        <v>35</v>
      </c>
      <c r="B36" s="29">
        <f>73.67+51.6</f>
        <v>125.27000000000001</v>
      </c>
      <c r="C36" s="30">
        <f>82.09+62.098</f>
        <v>144.188</v>
      </c>
      <c r="D36" s="31">
        <f>107.2+84.1</f>
        <v>191.3</v>
      </c>
      <c r="E36" s="32">
        <f>75.6+105.6</f>
        <v>181.2</v>
      </c>
      <c r="F36" s="33">
        <f>70.48+108.73</f>
        <v>179.21</v>
      </c>
      <c r="G36" s="34">
        <f>119.1+69.33</f>
        <v>188.43</v>
      </c>
      <c r="H36" s="33">
        <f>106.93+55.26</f>
        <v>162.19</v>
      </c>
      <c r="I36" s="33">
        <f>109.16+44.47</f>
        <v>153.63</v>
      </c>
      <c r="J36" s="34">
        <v>124.3</v>
      </c>
      <c r="K36" s="32">
        <f>29.96+98.5</f>
        <v>128.46</v>
      </c>
      <c r="L36" s="78">
        <v>129.4</v>
      </c>
      <c r="M36" s="90">
        <v>0</v>
      </c>
      <c r="N36" s="111">
        <v>0</v>
      </c>
      <c r="O36" s="123">
        <v>0</v>
      </c>
      <c r="P36" s="139">
        <v>0</v>
      </c>
      <c r="Q36" s="139">
        <v>0</v>
      </c>
      <c r="R36" s="157">
        <v>0</v>
      </c>
      <c r="S36" s="157">
        <v>0</v>
      </c>
      <c r="T36" s="138">
        <v>0</v>
      </c>
      <c r="U36" s="138">
        <v>0</v>
      </c>
      <c r="V36" s="138">
        <v>0</v>
      </c>
      <c r="W36" s="189">
        <v>0</v>
      </c>
      <c r="X36" s="189">
        <v>0</v>
      </c>
    </row>
    <row r="37" spans="1:24" ht="14.25">
      <c r="A37" s="43" t="s">
        <v>36</v>
      </c>
      <c r="B37" s="29">
        <f>206.46+13.14</f>
        <v>219.60000000000002</v>
      </c>
      <c r="C37" s="30">
        <v>287.09</v>
      </c>
      <c r="D37" s="31">
        <v>0</v>
      </c>
      <c r="E37" s="32">
        <v>0</v>
      </c>
      <c r="F37" s="33">
        <v>0</v>
      </c>
      <c r="G37" s="34">
        <v>0</v>
      </c>
      <c r="H37" s="33">
        <v>0</v>
      </c>
      <c r="I37" s="33">
        <v>0</v>
      </c>
      <c r="J37" s="34">
        <v>0</v>
      </c>
      <c r="K37" s="32">
        <v>0</v>
      </c>
      <c r="L37" s="78">
        <v>0</v>
      </c>
      <c r="M37" s="90">
        <v>0</v>
      </c>
      <c r="N37" s="111">
        <v>0</v>
      </c>
      <c r="O37" s="123">
        <v>0</v>
      </c>
      <c r="P37" s="139">
        <v>0</v>
      </c>
      <c r="Q37" s="139">
        <v>0</v>
      </c>
      <c r="R37" s="157">
        <v>0</v>
      </c>
      <c r="S37" s="157">
        <v>0</v>
      </c>
      <c r="T37" s="138">
        <v>0</v>
      </c>
      <c r="U37" s="138">
        <v>0</v>
      </c>
      <c r="V37" s="138">
        <v>0</v>
      </c>
      <c r="W37" s="189">
        <v>0</v>
      </c>
      <c r="X37" s="189">
        <v>0</v>
      </c>
    </row>
    <row r="38" spans="1:24" ht="14.25">
      <c r="A38" s="43" t="s">
        <v>37</v>
      </c>
      <c r="B38" s="29">
        <v>2.7</v>
      </c>
      <c r="C38" s="30">
        <v>1.05</v>
      </c>
      <c r="D38" s="31">
        <v>0</v>
      </c>
      <c r="E38" s="32">
        <v>177.5</v>
      </c>
      <c r="F38" s="33">
        <f>402.18</f>
        <v>402.18</v>
      </c>
      <c r="G38" s="34">
        <v>548.81</v>
      </c>
      <c r="H38" s="33">
        <v>402.66</v>
      </c>
      <c r="I38" s="33">
        <v>268.99</v>
      </c>
      <c r="J38" s="34">
        <v>120.96</v>
      </c>
      <c r="K38" s="32">
        <v>39.95</v>
      </c>
      <c r="L38" s="78">
        <v>0</v>
      </c>
      <c r="M38" s="90">
        <v>0</v>
      </c>
      <c r="N38" s="111">
        <v>0</v>
      </c>
      <c r="O38" s="123">
        <v>0</v>
      </c>
      <c r="P38" s="139">
        <v>0</v>
      </c>
      <c r="Q38" s="139">
        <v>0</v>
      </c>
      <c r="R38" s="157">
        <v>0</v>
      </c>
      <c r="S38" s="157">
        <v>0</v>
      </c>
      <c r="T38" s="138">
        <v>0</v>
      </c>
      <c r="U38" s="138">
        <v>0</v>
      </c>
      <c r="V38" s="138">
        <v>0</v>
      </c>
      <c r="W38" s="189">
        <v>0</v>
      </c>
      <c r="X38" s="189">
        <v>0</v>
      </c>
    </row>
    <row r="39" spans="1:24" s="1" customFormat="1" ht="14.25">
      <c r="A39" s="195" t="s">
        <v>38</v>
      </c>
      <c r="B39" s="196">
        <v>0</v>
      </c>
      <c r="C39" s="197">
        <v>0</v>
      </c>
      <c r="D39" s="198">
        <v>0</v>
      </c>
      <c r="E39" s="199">
        <v>0</v>
      </c>
      <c r="F39" s="200">
        <v>0.02</v>
      </c>
      <c r="G39" s="200">
        <v>0.1</v>
      </c>
      <c r="H39" s="200">
        <v>0.02</v>
      </c>
      <c r="I39" s="200">
        <v>0</v>
      </c>
      <c r="J39" s="201">
        <v>0</v>
      </c>
      <c r="K39" s="199">
        <v>0</v>
      </c>
      <c r="L39" s="200">
        <v>0</v>
      </c>
      <c r="M39" s="199">
        <v>0</v>
      </c>
      <c r="N39" s="202">
        <v>0</v>
      </c>
      <c r="O39" s="203">
        <v>0</v>
      </c>
      <c r="P39" s="204">
        <v>0</v>
      </c>
      <c r="Q39" s="204">
        <v>0</v>
      </c>
      <c r="R39" s="205">
        <v>0</v>
      </c>
      <c r="S39" s="205">
        <v>0</v>
      </c>
      <c r="T39" s="181">
        <v>0</v>
      </c>
      <c r="U39" s="181">
        <v>0</v>
      </c>
      <c r="V39" s="181">
        <v>0</v>
      </c>
      <c r="W39" s="182">
        <v>0</v>
      </c>
      <c r="X39" s="182">
        <v>0</v>
      </c>
    </row>
    <row r="40" spans="1:24" ht="15">
      <c r="A40" s="41" t="s">
        <v>39</v>
      </c>
      <c r="B40" s="44">
        <f aca="true" t="shared" si="8" ref="B40:K40">SUM(B41:B43)</f>
        <v>25285.510000000002</v>
      </c>
      <c r="C40" s="45">
        <f t="shared" si="8"/>
        <v>33776.4</v>
      </c>
      <c r="D40" s="46">
        <f t="shared" si="8"/>
        <v>43793.82</v>
      </c>
      <c r="E40" s="45">
        <f t="shared" si="8"/>
        <v>51136.75</v>
      </c>
      <c r="F40" s="45">
        <f t="shared" si="8"/>
        <v>55147.33</v>
      </c>
      <c r="G40" s="45">
        <f t="shared" si="8"/>
        <v>56381.799999999996</v>
      </c>
      <c r="H40" s="45">
        <f t="shared" si="8"/>
        <v>59868.5</v>
      </c>
      <c r="I40" s="85">
        <f t="shared" si="8"/>
        <v>76149.6</v>
      </c>
      <c r="J40" s="45">
        <f t="shared" si="8"/>
        <v>100556.4</v>
      </c>
      <c r="K40" s="46">
        <f t="shared" si="8"/>
        <v>136493.8</v>
      </c>
      <c r="L40" s="85">
        <f>L41+L42+L43</f>
        <v>182510.26032</v>
      </c>
      <c r="M40" s="45">
        <f>M41+M42+M43</f>
        <v>210388.6</v>
      </c>
      <c r="N40" s="116">
        <v>226841.9</v>
      </c>
      <c r="O40" s="44">
        <f>O41+O42+O43</f>
        <v>252179.8</v>
      </c>
      <c r="P40" s="147">
        <f>P41+P42+P43</f>
        <v>280763.80000000005</v>
      </c>
      <c r="Q40" s="147">
        <f>Q41+Q42+Q43</f>
        <v>299142.6</v>
      </c>
      <c r="R40" s="166">
        <f>R41+R42+R43</f>
        <v>323039.30000000005</v>
      </c>
      <c r="S40" s="166">
        <f>S41+S42+S43</f>
        <v>353015.9</v>
      </c>
      <c r="T40" s="146">
        <f>T41+T42+T43</f>
        <v>384965</v>
      </c>
      <c r="U40" s="146">
        <f>U41+U42+U43</f>
        <v>432481.5</v>
      </c>
      <c r="V40" s="146">
        <f>V41+V42+V43</f>
        <v>443714.60000000003</v>
      </c>
      <c r="W40" s="190">
        <f>W41+W42+W43</f>
        <v>450939.4</v>
      </c>
      <c r="X40" s="190">
        <f>X41+X42+X43</f>
        <v>462847.7</v>
      </c>
    </row>
    <row r="41" spans="1:24" ht="14.25">
      <c r="A41" s="48" t="s">
        <v>40</v>
      </c>
      <c r="B41" s="47">
        <v>4658.65</v>
      </c>
      <c r="C41" s="34">
        <v>6421.2</v>
      </c>
      <c r="D41" s="31">
        <v>8167.6</v>
      </c>
      <c r="E41" s="32">
        <v>7939.65</v>
      </c>
      <c r="F41" s="33">
        <v>9657.13</v>
      </c>
      <c r="G41" s="34">
        <v>9383.6</v>
      </c>
      <c r="H41" s="33">
        <v>20951.3</v>
      </c>
      <c r="I41" s="33">
        <v>31922.2</v>
      </c>
      <c r="J41" s="34">
        <v>49526.6</v>
      </c>
      <c r="K41" s="32">
        <v>51566.6</v>
      </c>
      <c r="L41" s="78">
        <v>64095.9</v>
      </c>
      <c r="M41" s="90">
        <v>67788.9</v>
      </c>
      <c r="N41" s="111">
        <v>43428.3</v>
      </c>
      <c r="O41" s="123">
        <v>29453.9</v>
      </c>
      <c r="P41" s="139">
        <v>35713</v>
      </c>
      <c r="Q41" s="157">
        <v>44695.3</v>
      </c>
      <c r="R41" s="157">
        <v>53619.9</v>
      </c>
      <c r="S41" s="157">
        <v>60863</v>
      </c>
      <c r="T41" s="138">
        <v>57843.9</v>
      </c>
      <c r="U41" s="138">
        <v>61013.9</v>
      </c>
      <c r="V41" s="138">
        <v>52210.5</v>
      </c>
      <c r="W41" s="189">
        <v>59698.7</v>
      </c>
      <c r="X41" s="189">
        <v>65277.7</v>
      </c>
    </row>
    <row r="42" spans="1:24" ht="14.25">
      <c r="A42" s="48" t="s">
        <v>41</v>
      </c>
      <c r="B42" s="29">
        <f>2612.7+2779.7</f>
        <v>5392.4</v>
      </c>
      <c r="C42" s="30">
        <f>4290.3+2751.5</f>
        <v>7041.8</v>
      </c>
      <c r="D42" s="31">
        <f>4459.9+3582.7</f>
        <v>8042.599999999999</v>
      </c>
      <c r="E42" s="32">
        <f>3698.1+3561.4</f>
        <v>7259.5</v>
      </c>
      <c r="F42" s="33">
        <f>3654.6+4732.2</f>
        <v>8386.8</v>
      </c>
      <c r="G42" s="34">
        <f>1984.9+6213.6</f>
        <v>8198.5</v>
      </c>
      <c r="H42" s="33">
        <f>1197.8+4177.4</f>
        <v>5375.2</v>
      </c>
      <c r="I42" s="33">
        <f>8289.5+722.4</f>
        <v>9011.9</v>
      </c>
      <c r="J42" s="34">
        <f>10347.4+365.1</f>
        <v>10712.5</v>
      </c>
      <c r="K42" s="32">
        <f>27085.5+10.6</f>
        <v>27096.1</v>
      </c>
      <c r="L42" s="78">
        <v>42792.21392</v>
      </c>
      <c r="M42" s="90">
        <v>55152.1</v>
      </c>
      <c r="N42" s="111">
        <v>77365.7</v>
      </c>
      <c r="O42" s="123">
        <v>94759.7</v>
      </c>
      <c r="P42" s="139">
        <v>83930.1</v>
      </c>
      <c r="Q42" s="139">
        <v>74902.4</v>
      </c>
      <c r="R42" s="157">
        <v>62990.3</v>
      </c>
      <c r="S42" s="157">
        <v>72195.3</v>
      </c>
      <c r="T42" s="138">
        <v>86846.3</v>
      </c>
      <c r="U42" s="138">
        <v>98283.4</v>
      </c>
      <c r="V42" s="138">
        <v>102011.7</v>
      </c>
      <c r="W42" s="189">
        <v>113278.5</v>
      </c>
      <c r="X42" s="189">
        <v>116296.8</v>
      </c>
    </row>
    <row r="43" spans="1:24" ht="14.25">
      <c r="A43" s="48" t="s">
        <v>42</v>
      </c>
      <c r="B43" s="29">
        <f>3474.7+11745.2+14.56</f>
        <v>15234.460000000001</v>
      </c>
      <c r="C43" s="30">
        <f>5963.5+14337.2+12.7</f>
        <v>20313.4</v>
      </c>
      <c r="D43" s="31">
        <f>7267+20305.7+10.92</f>
        <v>27583.62</v>
      </c>
      <c r="E43" s="32">
        <f>11837.6+24090.9+9.1</f>
        <v>35937.6</v>
      </c>
      <c r="F43" s="33">
        <f>12347.6+24734.2+21.6</f>
        <v>37103.4</v>
      </c>
      <c r="G43" s="34">
        <f>11496.1+26773+530.6</f>
        <v>38799.7</v>
      </c>
      <c r="H43" s="33">
        <f>8717+24126.4+698.6</f>
        <v>33542</v>
      </c>
      <c r="I43" s="33">
        <f>1662.7+7701.6+25851.2</f>
        <v>35215.5</v>
      </c>
      <c r="J43" s="34">
        <f>1649.1+8108.3+30559.9</f>
        <v>40317.3</v>
      </c>
      <c r="K43" s="32">
        <f>5697+11687.7+40446.4</f>
        <v>57831.100000000006</v>
      </c>
      <c r="L43" s="78">
        <v>75622.1464</v>
      </c>
      <c r="M43" s="90">
        <v>87447.6</v>
      </c>
      <c r="N43" s="111">
        <v>106047.9</v>
      </c>
      <c r="O43" s="123">
        <v>127966.2</v>
      </c>
      <c r="P43" s="139">
        <v>161120.7</v>
      </c>
      <c r="Q43" s="139">
        <v>179544.9</v>
      </c>
      <c r="R43" s="157">
        <v>206429.1</v>
      </c>
      <c r="S43" s="157">
        <v>219957.6</v>
      </c>
      <c r="T43" s="138">
        <v>240274.8</v>
      </c>
      <c r="U43" s="138">
        <v>273184.2</v>
      </c>
      <c r="V43" s="138">
        <v>289492.4</v>
      </c>
      <c r="W43" s="189">
        <v>277962.2</v>
      </c>
      <c r="X43" s="189">
        <v>281273.2</v>
      </c>
    </row>
    <row r="44" spans="1:24" ht="15">
      <c r="A44" s="41" t="s">
        <v>43</v>
      </c>
      <c r="B44" s="35">
        <f aca="true" t="shared" si="9" ref="B44:M44">SUM(B45:B46)</f>
        <v>25285.5</v>
      </c>
      <c r="C44" s="36">
        <f t="shared" si="9"/>
        <v>33776.4</v>
      </c>
      <c r="D44" s="37">
        <f t="shared" si="9"/>
        <v>43793.78</v>
      </c>
      <c r="E44" s="36">
        <f t="shared" si="9"/>
        <v>51136.82</v>
      </c>
      <c r="F44" s="36">
        <f t="shared" si="9"/>
        <v>55147.31614</v>
      </c>
      <c r="G44" s="36">
        <f t="shared" si="9"/>
        <v>56381.76</v>
      </c>
      <c r="H44" s="36">
        <f t="shared" si="9"/>
        <v>59868.520000000004</v>
      </c>
      <c r="I44" s="57">
        <f t="shared" si="9"/>
        <v>76149.6</v>
      </c>
      <c r="J44" s="36">
        <f t="shared" si="9"/>
        <v>100556.4</v>
      </c>
      <c r="K44" s="37">
        <f t="shared" si="9"/>
        <v>136493.8</v>
      </c>
      <c r="L44" s="57">
        <f t="shared" si="9"/>
        <v>182510.26032</v>
      </c>
      <c r="M44" s="36">
        <f t="shared" si="9"/>
        <v>210388.6</v>
      </c>
      <c r="N44" s="112">
        <v>226841.9</v>
      </c>
      <c r="O44" s="35">
        <f>SUM(O45:O46)</f>
        <v>252179.80000000002</v>
      </c>
      <c r="P44" s="141">
        <f>SUM(P45:P46)</f>
        <v>280763.8</v>
      </c>
      <c r="Q44" s="141">
        <f>SUM(Q45:Q46)</f>
        <v>299142.6</v>
      </c>
      <c r="R44" s="163">
        <f>SUM(R45:R46)</f>
        <v>323039.3</v>
      </c>
      <c r="S44" s="163">
        <f>SUM(S45:S46)</f>
        <v>353016</v>
      </c>
      <c r="T44" s="140">
        <f>T45+T46</f>
        <v>384965</v>
      </c>
      <c r="U44" s="140">
        <f>SUM(U45:U46)</f>
        <v>432481.5</v>
      </c>
      <c r="V44" s="140">
        <f>SUM(V45:V46)</f>
        <v>443714.6</v>
      </c>
      <c r="W44" s="192">
        <f>SUM(W45:W46)</f>
        <v>450939.4</v>
      </c>
      <c r="X44" s="192">
        <f>SUM(X45:X46)</f>
        <v>462847.7</v>
      </c>
    </row>
    <row r="45" spans="1:24" ht="14.25">
      <c r="A45" s="43" t="s">
        <v>44</v>
      </c>
      <c r="B45" s="29">
        <f>5380.06+7370.36-B22-B15+4.6</f>
        <v>8096.42</v>
      </c>
      <c r="C45" s="30">
        <f>10059.5+2701.7</f>
        <v>12761.2</v>
      </c>
      <c r="D45" s="31">
        <f>13802.08+11561.21-D22-D15</f>
        <v>17195.69</v>
      </c>
      <c r="E45" s="32">
        <f>18506.35+11403.17-E22-E15</f>
        <v>21969.92</v>
      </c>
      <c r="F45" s="33">
        <f>17833.4+14389-F22-F15</f>
        <v>22565.300000000003</v>
      </c>
      <c r="G45" s="34">
        <f>15947.06+15942.9-G22-G15+243</f>
        <v>22749.36</v>
      </c>
      <c r="H45" s="33">
        <f>14938.7+25320.8-H22-H15+2.2</f>
        <v>19336.5</v>
      </c>
      <c r="I45" s="33">
        <v>22056.6</v>
      </c>
      <c r="J45" s="34">
        <v>31495.2</v>
      </c>
      <c r="K45" s="32">
        <f>26894.2+31040.2</f>
        <v>57934.4</v>
      </c>
      <c r="L45" s="78">
        <v>95049.07248</v>
      </c>
      <c r="M45" s="90">
        <v>115406.3</v>
      </c>
      <c r="N45" s="111">
        <v>154559.85</v>
      </c>
      <c r="O45" s="123">
        <v>193674.7</v>
      </c>
      <c r="P45" s="139">
        <v>216343.8</v>
      </c>
      <c r="Q45" s="139">
        <v>229871</v>
      </c>
      <c r="R45" s="157">
        <v>240873.5</v>
      </c>
      <c r="S45" s="157">
        <v>261529.5</v>
      </c>
      <c r="T45" s="138">
        <v>296635.7</v>
      </c>
      <c r="U45" s="138">
        <v>340800.6</v>
      </c>
      <c r="V45" s="138">
        <v>360819.8</v>
      </c>
      <c r="W45" s="189">
        <v>359650.5</v>
      </c>
      <c r="X45" s="189">
        <v>364932.2</v>
      </c>
    </row>
    <row r="46" spans="1:24" ht="15" thickBot="1">
      <c r="A46" s="43" t="s">
        <v>45</v>
      </c>
      <c r="B46" s="29">
        <f>12448.1+82.38+B15+B22</f>
        <v>17189.08</v>
      </c>
      <c r="C46" s="30">
        <f>14531.5+6483.7</f>
        <v>21015.2</v>
      </c>
      <c r="D46" s="31">
        <f>18371+59.49+D22+D15</f>
        <v>26598.090000000004</v>
      </c>
      <c r="E46" s="32">
        <f>21120.4+106.9+E22+E15</f>
        <v>29166.9</v>
      </c>
      <c r="F46" s="33">
        <f>22757.83614+167.08+F22+F15</f>
        <v>32582.01614</v>
      </c>
      <c r="G46" s="34">
        <f>24063.7+185.1+G22+G15</f>
        <v>33632.4</v>
      </c>
      <c r="H46" s="33">
        <f>19100.52+506.3+H22+H15</f>
        <v>40532.020000000004</v>
      </c>
      <c r="I46" s="33">
        <v>54093</v>
      </c>
      <c r="J46" s="34">
        <v>69061.2</v>
      </c>
      <c r="K46" s="32">
        <v>78559.4</v>
      </c>
      <c r="L46" s="78">
        <v>87461.18784</v>
      </c>
      <c r="M46" s="90">
        <v>94982.3</v>
      </c>
      <c r="N46" s="111">
        <v>72282.05</v>
      </c>
      <c r="O46" s="123">
        <v>58505.1</v>
      </c>
      <c r="P46" s="139">
        <v>64420</v>
      </c>
      <c r="Q46" s="139">
        <v>69271.6</v>
      </c>
      <c r="R46" s="157">
        <v>82165.8</v>
      </c>
      <c r="S46" s="157">
        <v>91486.5</v>
      </c>
      <c r="T46" s="138">
        <v>88329.3</v>
      </c>
      <c r="U46" s="138">
        <v>91680.9</v>
      </c>
      <c r="V46" s="138">
        <v>82894.8</v>
      </c>
      <c r="W46" s="189">
        <v>91288.9</v>
      </c>
      <c r="X46" s="189">
        <v>97915.5</v>
      </c>
    </row>
    <row r="47" spans="1:24" ht="15.75" thickBot="1">
      <c r="A47" s="49" t="s">
        <v>46</v>
      </c>
      <c r="B47" s="50">
        <f aca="true" t="shared" si="10" ref="B47:M47">B50+B51</f>
        <v>3.3</v>
      </c>
      <c r="C47" s="51">
        <f t="shared" si="10"/>
        <v>41.4</v>
      </c>
      <c r="D47" s="52">
        <f t="shared" si="10"/>
        <v>73.6</v>
      </c>
      <c r="E47" s="51">
        <f t="shared" si="10"/>
        <v>226.6</v>
      </c>
      <c r="F47" s="51">
        <f t="shared" si="10"/>
        <v>672.4000000000001</v>
      </c>
      <c r="G47" s="51">
        <f t="shared" si="10"/>
        <v>2629.1</v>
      </c>
      <c r="H47" s="51">
        <f t="shared" si="10"/>
        <v>3472.3</v>
      </c>
      <c r="I47" s="86">
        <f t="shared" si="10"/>
        <v>6174.700000000001</v>
      </c>
      <c r="J47" s="51">
        <f t="shared" si="10"/>
        <v>9238.699999999999</v>
      </c>
      <c r="K47" s="52">
        <f t="shared" si="10"/>
        <v>10835.2</v>
      </c>
      <c r="L47" s="86">
        <f t="shared" si="10"/>
        <v>11948.925216</v>
      </c>
      <c r="M47" s="101">
        <f t="shared" si="10"/>
        <v>12879.4</v>
      </c>
      <c r="N47" s="117">
        <v>14000.7</v>
      </c>
      <c r="O47" s="87">
        <f>O50+O51</f>
        <v>14971.1</v>
      </c>
      <c r="P47" s="148">
        <f>P50+P51</f>
        <v>14891.699999999999</v>
      </c>
      <c r="Q47" s="148">
        <f>Q50+Q51</f>
        <v>16791.1</v>
      </c>
      <c r="R47" s="167">
        <f>R50+R51</f>
        <v>16040.9</v>
      </c>
      <c r="S47" s="167">
        <f>S50+S51</f>
        <v>15433</v>
      </c>
      <c r="T47" s="126">
        <f>T50+T51</f>
        <v>15958</v>
      </c>
      <c r="U47" s="126">
        <f>U50+U51</f>
        <v>16467</v>
      </c>
      <c r="V47" s="126">
        <f>V50+V51</f>
        <v>15971.6</v>
      </c>
      <c r="W47" s="193">
        <f>W50+W51</f>
        <v>15990.9</v>
      </c>
      <c r="X47" s="193">
        <f>X50+X51</f>
        <v>15996</v>
      </c>
    </row>
    <row r="48" spans="1:24" ht="14.25">
      <c r="A48" s="53" t="s">
        <v>47</v>
      </c>
      <c r="B48" s="29"/>
      <c r="C48" s="30"/>
      <c r="D48" s="31"/>
      <c r="E48" s="32"/>
      <c r="F48" s="33"/>
      <c r="G48" s="34"/>
      <c r="H48" s="34"/>
      <c r="I48" s="33"/>
      <c r="J48" s="34"/>
      <c r="K48" s="32"/>
      <c r="L48" s="88"/>
      <c r="M48" s="79"/>
      <c r="N48" s="111"/>
      <c r="O48" s="127"/>
      <c r="P48" s="139"/>
      <c r="Q48" s="139"/>
      <c r="R48" s="157"/>
      <c r="S48" s="174"/>
      <c r="T48" s="138"/>
      <c r="U48" s="138"/>
      <c r="V48" s="138"/>
      <c r="W48" s="189"/>
      <c r="X48" s="189"/>
    </row>
    <row r="49" spans="1:24" ht="15">
      <c r="A49" s="24" t="s">
        <v>6</v>
      </c>
      <c r="B49" s="35">
        <f aca="true" t="shared" si="11" ref="B49:M49">B51+B50</f>
        <v>3.3</v>
      </c>
      <c r="C49" s="36">
        <f t="shared" si="11"/>
        <v>41.4</v>
      </c>
      <c r="D49" s="37">
        <f t="shared" si="11"/>
        <v>73.6</v>
      </c>
      <c r="E49" s="36">
        <f t="shared" si="11"/>
        <v>226.6</v>
      </c>
      <c r="F49" s="36">
        <f t="shared" si="11"/>
        <v>672.4000000000001</v>
      </c>
      <c r="G49" s="36">
        <f t="shared" si="11"/>
        <v>2629.1</v>
      </c>
      <c r="H49" s="36">
        <f t="shared" si="11"/>
        <v>3472.3</v>
      </c>
      <c r="I49" s="57">
        <f t="shared" si="11"/>
        <v>6174.700000000001</v>
      </c>
      <c r="J49" s="36">
        <f t="shared" si="11"/>
        <v>9238.699999999999</v>
      </c>
      <c r="K49" s="37">
        <f t="shared" si="11"/>
        <v>10835.2</v>
      </c>
      <c r="L49" s="57">
        <f t="shared" si="11"/>
        <v>11948.925216</v>
      </c>
      <c r="M49" s="36">
        <f t="shared" si="11"/>
        <v>12879.4</v>
      </c>
      <c r="N49" s="112">
        <v>14000.7</v>
      </c>
      <c r="O49" s="35">
        <f>O51+O50</f>
        <v>14971.1</v>
      </c>
      <c r="P49" s="141">
        <f>P51+P50</f>
        <v>14891.699999999999</v>
      </c>
      <c r="Q49" s="141">
        <f>Q51+Q50</f>
        <v>16791.1</v>
      </c>
      <c r="R49" s="163">
        <f>R51+R50</f>
        <v>16040.9</v>
      </c>
      <c r="S49" s="163">
        <f>S51+S50</f>
        <v>15433</v>
      </c>
      <c r="T49" s="140">
        <f>T50+T51</f>
        <v>15958</v>
      </c>
      <c r="U49" s="140">
        <f>U51+U50</f>
        <v>16467</v>
      </c>
      <c r="V49" s="140">
        <f>V51+V50</f>
        <v>15971.6</v>
      </c>
      <c r="W49" s="192">
        <f>W51+W50</f>
        <v>15990.9</v>
      </c>
      <c r="X49" s="192">
        <f>X51+X50</f>
        <v>15996</v>
      </c>
    </row>
    <row r="50" spans="1:24" ht="14.25">
      <c r="A50" s="28" t="s">
        <v>7</v>
      </c>
      <c r="B50" s="29">
        <v>3.3</v>
      </c>
      <c r="C50" s="30">
        <v>41.4</v>
      </c>
      <c r="D50" s="32">
        <v>63.5</v>
      </c>
      <c r="E50" s="54">
        <v>196.7</v>
      </c>
      <c r="F50" s="34">
        <v>341</v>
      </c>
      <c r="G50" s="34">
        <f>616+1842.2</f>
        <v>2458.2</v>
      </c>
      <c r="H50" s="34">
        <f>1434.6+1754.4</f>
        <v>3189</v>
      </c>
      <c r="I50" s="33">
        <v>5606.1</v>
      </c>
      <c r="J50" s="34">
        <v>8530.8</v>
      </c>
      <c r="K50" s="32">
        <v>10090.2</v>
      </c>
      <c r="L50" s="78">
        <v>11065.780576</v>
      </c>
      <c r="M50" s="33">
        <v>12199.6</v>
      </c>
      <c r="N50" s="111">
        <v>13302.8</v>
      </c>
      <c r="O50" s="123">
        <v>14376.2</v>
      </c>
      <c r="P50" s="139">
        <v>14360.3</v>
      </c>
      <c r="Q50" s="139">
        <v>16185.1</v>
      </c>
      <c r="R50" s="157">
        <v>15446.1</v>
      </c>
      <c r="S50" s="157">
        <v>14844.5</v>
      </c>
      <c r="T50" s="138">
        <v>15406.6</v>
      </c>
      <c r="U50" s="138">
        <v>15890.2</v>
      </c>
      <c r="V50" s="138">
        <v>15432.6</v>
      </c>
      <c r="W50" s="189">
        <v>15448.3</v>
      </c>
      <c r="X50" s="189">
        <v>15447.2</v>
      </c>
    </row>
    <row r="51" spans="1:24" ht="14.25">
      <c r="A51" s="28" t="s">
        <v>8</v>
      </c>
      <c r="B51" s="29">
        <v>0</v>
      </c>
      <c r="C51" s="55">
        <v>0</v>
      </c>
      <c r="D51" s="34">
        <v>10.1</v>
      </c>
      <c r="E51" s="34">
        <v>29.9</v>
      </c>
      <c r="F51" s="34">
        <f>267.6+63.8</f>
        <v>331.40000000000003</v>
      </c>
      <c r="G51" s="34">
        <f>55.7+115.2</f>
        <v>170.9</v>
      </c>
      <c r="H51" s="34">
        <f>108.1+175.2</f>
        <v>283.29999999999995</v>
      </c>
      <c r="I51" s="33">
        <v>568.6</v>
      </c>
      <c r="J51" s="34">
        <v>707.9</v>
      </c>
      <c r="K51" s="32">
        <v>745</v>
      </c>
      <c r="L51" s="78">
        <v>883.14464</v>
      </c>
      <c r="M51" s="33">
        <v>679.8</v>
      </c>
      <c r="N51" s="111">
        <v>697.9</v>
      </c>
      <c r="O51" s="123">
        <v>594.9</v>
      </c>
      <c r="P51" s="139">
        <v>531.4</v>
      </c>
      <c r="Q51" s="139">
        <v>606</v>
      </c>
      <c r="R51" s="157">
        <v>594.8</v>
      </c>
      <c r="S51" s="157">
        <v>588.5</v>
      </c>
      <c r="T51" s="138">
        <v>551.4</v>
      </c>
      <c r="U51" s="138">
        <v>576.8</v>
      </c>
      <c r="V51" s="138">
        <v>539</v>
      </c>
      <c r="W51" s="189">
        <v>542.6</v>
      </c>
      <c r="X51" s="189">
        <v>548.8</v>
      </c>
    </row>
    <row r="52" spans="1:24" ht="15">
      <c r="A52" s="41" t="s">
        <v>48</v>
      </c>
      <c r="B52" s="56">
        <f aca="true" t="shared" si="12" ref="B52:M52">B53+B54+B55</f>
        <v>3.3</v>
      </c>
      <c r="C52" s="36">
        <f t="shared" si="12"/>
        <v>41.4</v>
      </c>
      <c r="D52" s="36">
        <f t="shared" si="12"/>
        <v>73.6474614</v>
      </c>
      <c r="E52" s="36">
        <f t="shared" si="12"/>
        <v>226.633176</v>
      </c>
      <c r="F52" s="36">
        <f t="shared" si="12"/>
        <v>672.35</v>
      </c>
      <c r="G52" s="36">
        <f t="shared" si="12"/>
        <v>2629.1000000000004</v>
      </c>
      <c r="H52" s="57">
        <f t="shared" si="12"/>
        <v>3472.2627758</v>
      </c>
      <c r="I52" s="36">
        <f t="shared" si="12"/>
        <v>6174.7</v>
      </c>
      <c r="J52" s="36">
        <f t="shared" si="12"/>
        <v>9238.6</v>
      </c>
      <c r="K52" s="37">
        <f t="shared" si="12"/>
        <v>10835.2</v>
      </c>
      <c r="L52" s="57">
        <f t="shared" si="12"/>
        <v>11948.908064000001</v>
      </c>
      <c r="M52" s="36">
        <f t="shared" si="12"/>
        <v>12879.359999999999</v>
      </c>
      <c r="N52" s="112">
        <v>14000.7</v>
      </c>
      <c r="O52" s="35">
        <f>O53+O54+O55</f>
        <v>14917.054</v>
      </c>
      <c r="P52" s="141">
        <f>P53+P54+P55</f>
        <v>14891.7</v>
      </c>
      <c r="Q52" s="141">
        <f>Q53+Q54+Q55</f>
        <v>16791.100000000002</v>
      </c>
      <c r="R52" s="163">
        <f>R53+R54+R55</f>
        <v>16040.9</v>
      </c>
      <c r="S52" s="163">
        <f>S53+S54+S55</f>
        <v>15433</v>
      </c>
      <c r="T52" s="140">
        <f>T53+T54+T55</f>
        <v>15958</v>
      </c>
      <c r="U52" s="140">
        <f>U53+U54+U55</f>
        <v>16467</v>
      </c>
      <c r="V52" s="140">
        <f>V53+V54+V55</f>
        <v>15971.6</v>
      </c>
      <c r="W52" s="192">
        <f>W53+W54+W55</f>
        <v>15990.900000000001</v>
      </c>
      <c r="X52" s="192">
        <f>X53+X54+X55</f>
        <v>15996</v>
      </c>
    </row>
    <row r="53" spans="1:24" ht="14.25">
      <c r="A53" s="43" t="s">
        <v>49</v>
      </c>
      <c r="B53" s="58">
        <v>3.3</v>
      </c>
      <c r="C53" s="30">
        <v>41.4</v>
      </c>
      <c r="D53" s="34">
        <v>63.5</v>
      </c>
      <c r="E53" s="34">
        <v>196.7</v>
      </c>
      <c r="F53" s="34">
        <f>341+267.6</f>
        <v>608.6</v>
      </c>
      <c r="G53" s="59">
        <v>671.7</v>
      </c>
      <c r="H53" s="54">
        <f>1316.87+62.56+4.014*H59+0.2</f>
        <v>1393.2041437999999</v>
      </c>
      <c r="I53" s="34">
        <v>3296.6</v>
      </c>
      <c r="J53" s="34">
        <v>5422.5</v>
      </c>
      <c r="K53" s="32">
        <v>6494.86</v>
      </c>
      <c r="L53" s="78">
        <v>7210.891584</v>
      </c>
      <c r="M53" s="79">
        <v>7715.58</v>
      </c>
      <c r="N53" s="111">
        <v>8162</v>
      </c>
      <c r="O53" s="123">
        <v>8758.5</v>
      </c>
      <c r="P53" s="139">
        <v>8725.8</v>
      </c>
      <c r="Q53" s="139">
        <v>12882.7</v>
      </c>
      <c r="R53" s="157">
        <v>12526.3</v>
      </c>
      <c r="S53" s="157">
        <v>12321.9</v>
      </c>
      <c r="T53" s="138">
        <v>12939</v>
      </c>
      <c r="U53" s="138">
        <v>13494.3</v>
      </c>
      <c r="V53" s="138">
        <v>13458.8</v>
      </c>
      <c r="W53" s="189">
        <v>13468.6</v>
      </c>
      <c r="X53" s="189">
        <v>13448</v>
      </c>
    </row>
    <row r="54" spans="1:24" ht="14.25">
      <c r="A54" s="43" t="s">
        <v>26</v>
      </c>
      <c r="B54" s="58">
        <v>0</v>
      </c>
      <c r="C54" s="30">
        <v>0</v>
      </c>
      <c r="D54" s="34">
        <v>10.1474614</v>
      </c>
      <c r="E54" s="34">
        <v>29.933176</v>
      </c>
      <c r="F54" s="34">
        <v>63.75</v>
      </c>
      <c r="G54" s="34">
        <v>1957.4</v>
      </c>
      <c r="H54" s="34">
        <f>116.27+39.2+566.96*H59</f>
        <v>2072.758632</v>
      </c>
      <c r="I54" s="34">
        <v>2843.9</v>
      </c>
      <c r="J54" s="34">
        <v>3783.1</v>
      </c>
      <c r="K54" s="32">
        <v>4321.14</v>
      </c>
      <c r="L54" s="78">
        <v>4726.81648</v>
      </c>
      <c r="M54" s="79">
        <v>5157.38</v>
      </c>
      <c r="N54" s="111">
        <v>5836.9</v>
      </c>
      <c r="O54" s="123">
        <v>6158.5</v>
      </c>
      <c r="P54" s="139">
        <v>6118.2</v>
      </c>
      <c r="Q54" s="139">
        <v>3874</v>
      </c>
      <c r="R54" s="157">
        <v>3498.2</v>
      </c>
      <c r="S54" s="157">
        <v>3107.9</v>
      </c>
      <c r="T54" s="138">
        <v>3015.2</v>
      </c>
      <c r="U54" s="138">
        <v>2969.7</v>
      </c>
      <c r="V54" s="138">
        <v>2512.1</v>
      </c>
      <c r="W54" s="189">
        <v>2521.6</v>
      </c>
      <c r="X54" s="189">
        <v>2547.4</v>
      </c>
    </row>
    <row r="55" spans="1:24" ht="14.25">
      <c r="A55" s="43" t="s">
        <v>24</v>
      </c>
      <c r="B55" s="58">
        <v>0</v>
      </c>
      <c r="C55" s="30">
        <v>0</v>
      </c>
      <c r="D55" s="34">
        <v>0</v>
      </c>
      <c r="E55" s="34">
        <v>0</v>
      </c>
      <c r="F55" s="34">
        <v>0</v>
      </c>
      <c r="G55" s="34">
        <v>0</v>
      </c>
      <c r="H55" s="34">
        <v>6.3</v>
      </c>
      <c r="I55" s="34">
        <v>34.2</v>
      </c>
      <c r="J55" s="34">
        <v>33</v>
      </c>
      <c r="K55" s="32">
        <v>19.2</v>
      </c>
      <c r="L55" s="78">
        <v>11.2</v>
      </c>
      <c r="M55" s="79">
        <v>6.4</v>
      </c>
      <c r="N55" s="111">
        <v>1.8</v>
      </c>
      <c r="O55" s="123">
        <v>0.054</v>
      </c>
      <c r="P55" s="139">
        <v>47.7</v>
      </c>
      <c r="Q55" s="139">
        <v>34.4</v>
      </c>
      <c r="R55" s="157">
        <v>16.4</v>
      </c>
      <c r="S55" s="157">
        <v>3.2</v>
      </c>
      <c r="T55" s="138">
        <v>3.8</v>
      </c>
      <c r="U55" s="138">
        <v>3</v>
      </c>
      <c r="V55" s="138">
        <v>0.7</v>
      </c>
      <c r="W55" s="189">
        <v>0.7</v>
      </c>
      <c r="X55" s="189">
        <v>0.6</v>
      </c>
    </row>
    <row r="56" spans="1:24" ht="15">
      <c r="A56" s="24" t="s">
        <v>50</v>
      </c>
      <c r="B56" s="56">
        <f aca="true" t="shared" si="13" ref="B56:M56">B57+B58</f>
        <v>3.3</v>
      </c>
      <c r="C56" s="36">
        <f t="shared" si="13"/>
        <v>41.4</v>
      </c>
      <c r="D56" s="36">
        <f t="shared" si="13"/>
        <v>73.6</v>
      </c>
      <c r="E56" s="36">
        <f t="shared" si="13"/>
        <v>226.6</v>
      </c>
      <c r="F56" s="36">
        <f t="shared" si="13"/>
        <v>672.4</v>
      </c>
      <c r="G56" s="36">
        <f t="shared" si="13"/>
        <v>2629.1</v>
      </c>
      <c r="H56" s="36">
        <f t="shared" si="13"/>
        <v>3472.3</v>
      </c>
      <c r="I56" s="36">
        <f t="shared" si="13"/>
        <v>6174.6</v>
      </c>
      <c r="J56" s="36">
        <f t="shared" si="13"/>
        <v>9238.6</v>
      </c>
      <c r="K56" s="89">
        <f t="shared" si="13"/>
        <v>10835.2</v>
      </c>
      <c r="L56" s="57">
        <f t="shared" si="13"/>
        <v>11948.925216</v>
      </c>
      <c r="M56" s="36">
        <f t="shared" si="13"/>
        <v>12879.349999999999</v>
      </c>
      <c r="N56" s="112">
        <v>14000.7</v>
      </c>
      <c r="O56" s="35">
        <f>O57+O58</f>
        <v>14971.1</v>
      </c>
      <c r="P56" s="141">
        <f>P57+P58</f>
        <v>14891.7</v>
      </c>
      <c r="Q56" s="141">
        <f>Q57+Q58</f>
        <v>16791.1</v>
      </c>
      <c r="R56" s="163">
        <f>R57+R58</f>
        <v>16040.9</v>
      </c>
      <c r="S56" s="163">
        <f>S57+S58</f>
        <v>15433</v>
      </c>
      <c r="T56" s="140">
        <f>T57+T58</f>
        <v>15958</v>
      </c>
      <c r="U56" s="140">
        <f>U57+U58</f>
        <v>16467</v>
      </c>
      <c r="V56" s="140">
        <f>V57+V58</f>
        <v>15971.6</v>
      </c>
      <c r="W56" s="192">
        <f>W57+W58</f>
        <v>15990.9</v>
      </c>
      <c r="X56" s="192">
        <f>X57+X58</f>
        <v>15996</v>
      </c>
    </row>
    <row r="57" spans="1:24" ht="14.25">
      <c r="A57" s="43" t="s">
        <v>51</v>
      </c>
      <c r="B57" s="58">
        <v>3.3</v>
      </c>
      <c r="C57" s="30">
        <v>41.4</v>
      </c>
      <c r="D57" s="34">
        <v>63.5</v>
      </c>
      <c r="E57" s="34">
        <v>196.7</v>
      </c>
      <c r="F57" s="34">
        <f>341+267.6</f>
        <v>608.6</v>
      </c>
      <c r="G57" s="34">
        <v>665.8</v>
      </c>
      <c r="H57" s="34">
        <v>476.4</v>
      </c>
      <c r="I57" s="34">
        <v>1192.8</v>
      </c>
      <c r="J57" s="34">
        <v>1295.1</v>
      </c>
      <c r="K57" s="32">
        <v>3115.8</v>
      </c>
      <c r="L57" s="78">
        <v>2350.728</v>
      </c>
      <c r="M57" s="79">
        <v>550.05</v>
      </c>
      <c r="N57" s="111">
        <v>566.1</v>
      </c>
      <c r="O57" s="123">
        <v>505.6</v>
      </c>
      <c r="P57" s="139">
        <v>747.2</v>
      </c>
      <c r="Q57" s="139">
        <v>1123.5</v>
      </c>
      <c r="R57" s="157">
        <v>978.4</v>
      </c>
      <c r="S57" s="157">
        <v>936.9</v>
      </c>
      <c r="T57" s="138">
        <v>970.5</v>
      </c>
      <c r="U57" s="138">
        <v>1085.5</v>
      </c>
      <c r="V57" s="138">
        <v>1049.4</v>
      </c>
      <c r="W57" s="189">
        <v>1050.1</v>
      </c>
      <c r="X57" s="189">
        <v>973.8</v>
      </c>
    </row>
    <row r="58" spans="1:24" ht="15" thickBot="1">
      <c r="A58" s="60" t="s">
        <v>52</v>
      </c>
      <c r="B58" s="61">
        <v>0</v>
      </c>
      <c r="C58" s="62">
        <v>0</v>
      </c>
      <c r="D58" s="63">
        <v>10.1</v>
      </c>
      <c r="E58" s="63">
        <v>29.9</v>
      </c>
      <c r="F58" s="63">
        <v>63.8</v>
      </c>
      <c r="G58" s="63">
        <v>1963.3</v>
      </c>
      <c r="H58" s="63">
        <v>2995.9</v>
      </c>
      <c r="I58" s="63">
        <v>4981.8</v>
      </c>
      <c r="J58" s="63">
        <v>7943.5</v>
      </c>
      <c r="K58" s="91">
        <v>7719.4</v>
      </c>
      <c r="L58" s="92">
        <v>9598.197216</v>
      </c>
      <c r="M58" s="102">
        <v>12329.3</v>
      </c>
      <c r="N58" s="118">
        <v>13434.6</v>
      </c>
      <c r="O58" s="128">
        <v>14465.5</v>
      </c>
      <c r="P58" s="150">
        <v>14144.5</v>
      </c>
      <c r="Q58" s="150">
        <v>15667.6</v>
      </c>
      <c r="R58" s="168">
        <v>15062.5</v>
      </c>
      <c r="S58" s="168">
        <v>14496.1</v>
      </c>
      <c r="T58" s="149">
        <v>14987.5</v>
      </c>
      <c r="U58" s="149">
        <v>15381.5</v>
      </c>
      <c r="V58" s="149">
        <v>14922.2</v>
      </c>
      <c r="W58" s="194">
        <v>14940.8</v>
      </c>
      <c r="X58" s="194">
        <v>15022.2</v>
      </c>
    </row>
    <row r="59" spans="1:24" ht="24" customHeight="1">
      <c r="A59" s="64" t="s">
        <v>53</v>
      </c>
      <c r="B59" s="65">
        <v>2.4118</v>
      </c>
      <c r="C59" s="65">
        <v>2.7881</v>
      </c>
      <c r="D59" s="65">
        <v>3.4919000000000002</v>
      </c>
      <c r="E59" s="65">
        <v>4.1117</v>
      </c>
      <c r="F59" s="65">
        <v>3.9663</v>
      </c>
      <c r="G59" s="65">
        <v>3.6771000000000003</v>
      </c>
      <c r="H59" s="66">
        <v>3.3817</v>
      </c>
      <c r="I59" s="93">
        <v>3.6102</v>
      </c>
      <c r="J59" s="93">
        <v>3.9859999999999998</v>
      </c>
      <c r="K59" s="93">
        <v>4.2296</v>
      </c>
      <c r="L59" s="94">
        <v>4.2848</v>
      </c>
      <c r="M59" s="94">
        <v>4.3197</v>
      </c>
      <c r="N59" s="94">
        <v>4.4287</v>
      </c>
      <c r="O59" s="94">
        <v>4.4847</v>
      </c>
      <c r="P59" s="151">
        <v>4.4821</v>
      </c>
      <c r="Q59" s="151">
        <v>4.5245</v>
      </c>
      <c r="R59" s="94">
        <v>4.5411</v>
      </c>
      <c r="S59" s="94">
        <v>4.6597</v>
      </c>
      <c r="T59" s="94">
        <v>4.6639</v>
      </c>
      <c r="U59" s="94">
        <v>4.7793</v>
      </c>
      <c r="V59" s="94">
        <v>4.7779</v>
      </c>
      <c r="W59" s="94">
        <v>4.8127</v>
      </c>
      <c r="X59" s="94">
        <v>4.8254</v>
      </c>
    </row>
    <row r="60" spans="1:24" ht="20.25" customHeight="1">
      <c r="A60" s="64" t="s">
        <v>54</v>
      </c>
      <c r="B60" s="67">
        <v>81275</v>
      </c>
      <c r="C60" s="67">
        <v>118327</v>
      </c>
      <c r="D60" s="67">
        <v>152630</v>
      </c>
      <c r="E60" s="67">
        <v>198761</v>
      </c>
      <c r="F60" s="67">
        <v>248748</v>
      </c>
      <c r="G60" s="67">
        <v>290489</v>
      </c>
      <c r="H60" s="68">
        <v>347004</v>
      </c>
      <c r="I60" s="68">
        <v>428979</v>
      </c>
      <c r="J60" s="68">
        <v>538050</v>
      </c>
      <c r="K60" s="68">
        <v>526345</v>
      </c>
      <c r="L60" s="95">
        <v>529624</v>
      </c>
      <c r="M60" s="96">
        <v>562062</v>
      </c>
      <c r="N60" s="96">
        <v>595367</v>
      </c>
      <c r="O60" s="96">
        <v>637456</v>
      </c>
      <c r="P60" s="152">
        <v>668590</v>
      </c>
      <c r="Q60" s="152">
        <v>712588</v>
      </c>
      <c r="R60" s="96">
        <v>765135</v>
      </c>
      <c r="S60" s="96">
        <v>857896</v>
      </c>
      <c r="T60" s="96">
        <v>952396.8</v>
      </c>
      <c r="U60" s="96">
        <v>1059800</v>
      </c>
      <c r="V60" s="96">
        <v>1082140</v>
      </c>
      <c r="W60" s="96">
        <v>1082140</v>
      </c>
      <c r="X60" s="96">
        <v>1082140</v>
      </c>
    </row>
    <row r="61" spans="1:14" ht="46.5" customHeight="1">
      <c r="A61" s="206" t="s">
        <v>55</v>
      </c>
      <c r="B61" s="206"/>
      <c r="C61" s="206"/>
      <c r="D61" s="206"/>
      <c r="E61" s="206"/>
      <c r="F61" s="69"/>
      <c r="G61" s="70"/>
      <c r="H61" s="6"/>
      <c r="I61" s="6"/>
      <c r="J61" s="6"/>
      <c r="K61" s="6"/>
      <c r="M61" s="103"/>
      <c r="N61" s="103"/>
    </row>
    <row r="62" spans="1:18" ht="15">
      <c r="A62" s="207" t="s">
        <v>56</v>
      </c>
      <c r="B62" s="208"/>
      <c r="C62" s="208"/>
      <c r="D62" s="208"/>
      <c r="E62" s="208"/>
      <c r="F62" s="208"/>
      <c r="G62" s="208"/>
      <c r="N62" s="119"/>
      <c r="P62" s="153"/>
      <c r="Q62" s="154"/>
      <c r="R62" s="154"/>
    </row>
    <row r="63" spans="1:7" ht="25.5">
      <c r="A63" s="71" t="s">
        <v>57</v>
      </c>
      <c r="B63" s="72"/>
      <c r="C63" s="72"/>
      <c r="D63" s="72"/>
      <c r="E63" s="72"/>
      <c r="F63" s="72"/>
      <c r="G63" s="72"/>
    </row>
  </sheetData>
  <sheetProtection selectLockedCells="1" selectUnlockedCells="1"/>
  <mergeCells count="2">
    <mergeCell ref="A61:E61"/>
    <mergeCell ref="A62:G62"/>
  </mergeCells>
  <printOptions/>
  <pageMargins left="0.31496062992125984" right="0.03937007874015748" top="0.4724409448818898" bottom="0.2362204724409449" header="0.2362204724409449" footer="0.5118110236220472"/>
  <pageSetup fitToHeight="0" fitToWidth="1" horizontalDpi="600" verticalDpi="600" orientation="landscape" paperSize="9" scale="45" r:id="rId1"/>
  <headerFooter alignWithMargins="0">
    <oddHeader>&amp;CPublic debt*)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2020-05-13T08:37:08Z</cp:lastPrinted>
  <dcterms:created xsi:type="dcterms:W3CDTF">2019-09-19T10:59:44Z</dcterms:created>
  <dcterms:modified xsi:type="dcterms:W3CDTF">2020-05-13T08:37:51Z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1033-11.2.0.8684</vt:lpwstr>
  </property>
</Properties>
</file>